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029"/>
  <workbookPr autoCompressPictures="0"/>
  <mc:AlternateContent xmlns:mc="http://schemas.openxmlformats.org/markup-compatibility/2006">
    <mc:Choice Requires="x15">
      <x15ac:absPath xmlns:x15ac="http://schemas.microsoft.com/office/spreadsheetml/2010/11/ac" url="C:\Users\Kamirie\Desktop\"/>
    </mc:Choice>
  </mc:AlternateContent>
  <xr:revisionPtr revIDLastSave="0" documentId="13_ncr:1_{F3DA3F60-1E11-4BCF-A807-E497EAE6DF96}" xr6:coauthVersionLast="28" xr6:coauthVersionMax="28" xr10:uidLastSave="{00000000-0000-0000-0000-000000000000}"/>
  <bookViews>
    <workbookView xWindow="0" yWindow="0" windowWidth="19200" windowHeight="8685" xr2:uid="{00000000-000D-0000-FFFF-FFFF00000000}"/>
  </bookViews>
  <sheets>
    <sheet name="Seasonal Quit Tobacco Calendar" sheetId="6" r:id="rId1"/>
  </sheets>
  <definedNames>
    <definedName name="AprSun1">DATE(CalendarYear,4,1)-WEEKDAY(DATE(CalendarYear,4,1))+1</definedName>
    <definedName name="AugSun1">DATE(CalendarYear,8,1)-WEEKDAY(DATE(CalendarYear,8,1))+1</definedName>
    <definedName name="CalendarYear">'Seasonal Quit Tobacco Calendar'!$L$2</definedName>
    <definedName name="DecSun1">DATE(CalendarYear,12,1)-WEEKDAY(DATE(CalendarYear,12,1))+1</definedName>
    <definedName name="FebSun1">DATE(CalendarYear,2,1)-WEEKDAY(DATE(CalendarYear,2,1))+1</definedName>
    <definedName name="JanSun1">DATE(CalendarYear,1,1)-WEEKDAY(DATE(CalendarYear,1,1))+1</definedName>
    <definedName name="JulSun1">DATE(CalendarYear,7,1)-WEEKDAY(DATE(CalendarYear,7,1))+1</definedName>
    <definedName name="JunSun1">DATE(CalendarYear,6,1)-WEEKDAY(DATE(CalendarYear,6,1))+1</definedName>
    <definedName name="MarSun1">DATE(CalendarYear,3,1)-WEEKDAY(DATE(CalendarYear,3,1))+1</definedName>
    <definedName name="MaySun1">DATE(CalendarYear,5,1)-WEEKDAY(DATE(CalendarYear,5,1))+1</definedName>
    <definedName name="NovSun1">DATE(CalendarYear,11,1)-WEEKDAY(DATE(CalendarYear,11,1))+1</definedName>
    <definedName name="OctSun1">DATE(CalendarYear,10,1)-WEEKDAY(DATE(CalendarYear,10,1))+1</definedName>
    <definedName name="_xlnm.Print_Area" localSheetId="0">'Seasonal Quit Tobacco Calendar'!$A$1:$Q$412</definedName>
    <definedName name="SepSun1">DATE(CalendarYear,9,1)-WEEKDAY(DATE(CalendarYear,9,1))+1</definedName>
  </definedNames>
  <calcPr calcId="171027" concurrentCalc="0"/>
  <extLst>
    <ext xmlns:mx="http://schemas.microsoft.com/office/mac/excel/2008/main" uri="{7523E5D3-25F3-A5E0-1632-64F254C22452}">
      <mx:ArchID Flags="2"/>
    </ext>
  </extLst>
</workbook>
</file>

<file path=xl/calcChain.xml><?xml version="1.0" encoding="utf-8"?>
<calcChain xmlns="http://schemas.openxmlformats.org/spreadsheetml/2006/main">
  <c r="O410" i="6" l="1"/>
  <c r="M410" i="6"/>
  <c r="K410" i="6"/>
  <c r="I410" i="6"/>
  <c r="G410" i="6"/>
  <c r="E410" i="6"/>
  <c r="C410" i="6"/>
  <c r="O407" i="6"/>
  <c r="M407" i="6"/>
  <c r="K407" i="6"/>
  <c r="I407" i="6"/>
  <c r="G407" i="6"/>
  <c r="E407" i="6"/>
  <c r="C407" i="6"/>
  <c r="O404" i="6"/>
  <c r="M404" i="6"/>
  <c r="K404" i="6"/>
  <c r="I404" i="6"/>
  <c r="G404" i="6"/>
  <c r="E404" i="6"/>
  <c r="C404" i="6"/>
  <c r="O401" i="6"/>
  <c r="M401" i="6"/>
  <c r="K401" i="6"/>
  <c r="I401" i="6"/>
  <c r="G401" i="6"/>
  <c r="E401" i="6"/>
  <c r="C401" i="6"/>
  <c r="O398" i="6"/>
  <c r="M398" i="6"/>
  <c r="K398" i="6"/>
  <c r="I398" i="6"/>
  <c r="G398" i="6"/>
  <c r="E398" i="6"/>
  <c r="C398" i="6"/>
  <c r="O395" i="6"/>
  <c r="M395" i="6"/>
  <c r="K395" i="6"/>
  <c r="I395" i="6"/>
  <c r="G395" i="6"/>
  <c r="E395" i="6"/>
  <c r="C395" i="6"/>
  <c r="A378" i="6"/>
  <c r="L378" i="6"/>
  <c r="O373" i="6"/>
  <c r="M373" i="6"/>
  <c r="K373" i="6"/>
  <c r="I373" i="6"/>
  <c r="G373" i="6"/>
  <c r="E373" i="6"/>
  <c r="C373" i="6"/>
  <c r="O370" i="6"/>
  <c r="M370" i="6"/>
  <c r="K370" i="6"/>
  <c r="I370" i="6"/>
  <c r="G370" i="6"/>
  <c r="E370" i="6"/>
  <c r="C370" i="6"/>
  <c r="O367" i="6"/>
  <c r="M367" i="6"/>
  <c r="K367" i="6"/>
  <c r="I367" i="6"/>
  <c r="G367" i="6"/>
  <c r="E367" i="6"/>
  <c r="C367" i="6"/>
  <c r="O364" i="6"/>
  <c r="M364" i="6"/>
  <c r="K364" i="6"/>
  <c r="I364" i="6"/>
  <c r="G364" i="6"/>
  <c r="E364" i="6"/>
  <c r="C364" i="6"/>
  <c r="O361" i="6"/>
  <c r="M361" i="6"/>
  <c r="K361" i="6"/>
  <c r="I361" i="6"/>
  <c r="G361" i="6"/>
  <c r="E361" i="6"/>
  <c r="C361" i="6"/>
  <c r="O306" i="6"/>
  <c r="M306" i="6"/>
  <c r="K306" i="6"/>
  <c r="I306" i="6"/>
  <c r="G306" i="6"/>
  <c r="E306" i="6"/>
  <c r="C306" i="6"/>
  <c r="O303" i="6"/>
  <c r="M303" i="6"/>
  <c r="K303" i="6"/>
  <c r="I303" i="6"/>
  <c r="G303" i="6"/>
  <c r="E303" i="6"/>
  <c r="C303" i="6"/>
  <c r="O300" i="6"/>
  <c r="M300" i="6"/>
  <c r="K300" i="6"/>
  <c r="I300" i="6"/>
  <c r="G300" i="6"/>
  <c r="E300" i="6"/>
  <c r="C300" i="6"/>
  <c r="O297" i="6"/>
  <c r="M297" i="6"/>
  <c r="K297" i="6"/>
  <c r="I297" i="6"/>
  <c r="G297" i="6"/>
  <c r="E297" i="6"/>
  <c r="C297" i="6"/>
  <c r="O294" i="6"/>
  <c r="M294" i="6"/>
  <c r="K294" i="6"/>
  <c r="I294" i="6"/>
  <c r="G294" i="6"/>
  <c r="E294" i="6"/>
  <c r="C294" i="6"/>
  <c r="O291" i="6"/>
  <c r="M291" i="6"/>
  <c r="K291" i="6"/>
  <c r="I291" i="6"/>
  <c r="G291" i="6"/>
  <c r="E291" i="6"/>
  <c r="C291" i="6"/>
  <c r="A274" i="6"/>
  <c r="A344" i="6"/>
  <c r="L344" i="6"/>
  <c r="O339" i="6"/>
  <c r="M339" i="6"/>
  <c r="K339" i="6"/>
  <c r="I339" i="6"/>
  <c r="G339" i="6"/>
  <c r="E339" i="6"/>
  <c r="C339" i="6"/>
  <c r="O336" i="6"/>
  <c r="M336" i="6"/>
  <c r="K336" i="6"/>
  <c r="I336" i="6"/>
  <c r="G336" i="6"/>
  <c r="E336" i="6"/>
  <c r="C336" i="6"/>
  <c r="O333" i="6"/>
  <c r="M333" i="6"/>
  <c r="K333" i="6"/>
  <c r="I333" i="6"/>
  <c r="G333" i="6"/>
  <c r="E333" i="6"/>
  <c r="C333" i="6"/>
  <c r="O330" i="6"/>
  <c r="M330" i="6"/>
  <c r="K330" i="6"/>
  <c r="I330" i="6"/>
  <c r="G330" i="6"/>
  <c r="E330" i="6"/>
  <c r="C330" i="6"/>
  <c r="O327" i="6"/>
  <c r="M327" i="6"/>
  <c r="K327" i="6"/>
  <c r="I327" i="6"/>
  <c r="G327" i="6"/>
  <c r="E327" i="6"/>
  <c r="C327" i="6"/>
  <c r="L310" i="6"/>
  <c r="A310" i="6"/>
  <c r="L274" i="6"/>
  <c r="A240" i="6"/>
  <c r="O269" i="6"/>
  <c r="M269" i="6"/>
  <c r="K269" i="6"/>
  <c r="I269" i="6"/>
  <c r="G269" i="6"/>
  <c r="E269" i="6"/>
  <c r="C269" i="6"/>
  <c r="O266" i="6"/>
  <c r="M266" i="6"/>
  <c r="K266" i="6"/>
  <c r="I266" i="6"/>
  <c r="G266" i="6"/>
  <c r="E266" i="6"/>
  <c r="C266" i="6"/>
  <c r="O263" i="6"/>
  <c r="M263" i="6"/>
  <c r="K263" i="6"/>
  <c r="I263" i="6"/>
  <c r="G263" i="6"/>
  <c r="E263" i="6"/>
  <c r="C263" i="6"/>
  <c r="O260" i="6"/>
  <c r="M260" i="6"/>
  <c r="K260" i="6"/>
  <c r="I260" i="6"/>
  <c r="G260" i="6"/>
  <c r="E260" i="6"/>
  <c r="C260" i="6"/>
  <c r="O257" i="6"/>
  <c r="M257" i="6"/>
  <c r="K257" i="6"/>
  <c r="I257" i="6"/>
  <c r="G257" i="6"/>
  <c r="E257" i="6"/>
  <c r="C257" i="6"/>
  <c r="O235" i="6"/>
  <c r="M235" i="6"/>
  <c r="K235" i="6"/>
  <c r="I235" i="6"/>
  <c r="G235" i="6"/>
  <c r="E235" i="6"/>
  <c r="C235" i="6"/>
  <c r="O232" i="6"/>
  <c r="M232" i="6"/>
  <c r="K232" i="6"/>
  <c r="I232" i="6"/>
  <c r="G232" i="6"/>
  <c r="E232" i="6"/>
  <c r="C232" i="6"/>
  <c r="O229" i="6"/>
  <c r="M229" i="6"/>
  <c r="K229" i="6"/>
  <c r="I229" i="6"/>
  <c r="G229" i="6"/>
  <c r="E229" i="6"/>
  <c r="C229" i="6"/>
  <c r="O226" i="6"/>
  <c r="M226" i="6"/>
  <c r="K226" i="6"/>
  <c r="I226" i="6"/>
  <c r="G226" i="6"/>
  <c r="E226" i="6"/>
  <c r="C226" i="6"/>
  <c r="O223" i="6"/>
  <c r="M223" i="6"/>
  <c r="K223" i="6"/>
  <c r="I223" i="6"/>
  <c r="G223" i="6"/>
  <c r="E223" i="6"/>
  <c r="C223" i="6"/>
  <c r="A206" i="6"/>
  <c r="L240" i="6"/>
  <c r="L206" i="6"/>
  <c r="O201" i="6"/>
  <c r="M201" i="6"/>
  <c r="K201" i="6"/>
  <c r="I201" i="6"/>
  <c r="G201" i="6"/>
  <c r="E201" i="6"/>
  <c r="C201" i="6"/>
  <c r="O198" i="6"/>
  <c r="M198" i="6"/>
  <c r="K198" i="6"/>
  <c r="I198" i="6"/>
  <c r="G198" i="6"/>
  <c r="E198" i="6"/>
  <c r="C198" i="6"/>
  <c r="O195" i="6"/>
  <c r="M195" i="6"/>
  <c r="K195" i="6"/>
  <c r="I195" i="6"/>
  <c r="G195" i="6"/>
  <c r="E195" i="6"/>
  <c r="C195" i="6"/>
  <c r="O192" i="6"/>
  <c r="M192" i="6"/>
  <c r="K192" i="6"/>
  <c r="I192" i="6"/>
  <c r="G192" i="6"/>
  <c r="E192" i="6"/>
  <c r="C192" i="6"/>
  <c r="O189" i="6"/>
  <c r="M189" i="6"/>
  <c r="K189" i="6"/>
  <c r="I189" i="6"/>
  <c r="G189" i="6"/>
  <c r="E189" i="6"/>
  <c r="C189" i="6"/>
  <c r="L172" i="6"/>
  <c r="A172" i="6"/>
  <c r="O167" i="6"/>
  <c r="M167" i="6"/>
  <c r="K167" i="6"/>
  <c r="I167" i="6"/>
  <c r="G167" i="6"/>
  <c r="E167" i="6"/>
  <c r="C167" i="6"/>
  <c r="O164" i="6"/>
  <c r="M164" i="6"/>
  <c r="K164" i="6"/>
  <c r="I164" i="6"/>
  <c r="G164" i="6"/>
  <c r="E164" i="6"/>
  <c r="C164" i="6"/>
  <c r="O161" i="6"/>
  <c r="M161" i="6"/>
  <c r="K161" i="6"/>
  <c r="I161" i="6"/>
  <c r="G161" i="6"/>
  <c r="E161" i="6"/>
  <c r="C161" i="6"/>
  <c r="O158" i="6"/>
  <c r="M158" i="6"/>
  <c r="K158" i="6"/>
  <c r="I158" i="6"/>
  <c r="G158" i="6"/>
  <c r="E158" i="6"/>
  <c r="C158" i="6"/>
  <c r="O155" i="6"/>
  <c r="M155" i="6"/>
  <c r="K155" i="6"/>
  <c r="I155" i="6"/>
  <c r="G155" i="6"/>
  <c r="E155" i="6"/>
  <c r="C155" i="6"/>
  <c r="A138" i="6"/>
  <c r="L138" i="6"/>
  <c r="O133" i="6"/>
  <c r="M133" i="6"/>
  <c r="K133" i="6"/>
  <c r="I133" i="6"/>
  <c r="G133" i="6"/>
  <c r="E133" i="6"/>
  <c r="C133" i="6"/>
  <c r="O130" i="6"/>
  <c r="M130" i="6"/>
  <c r="K130" i="6"/>
  <c r="I130" i="6"/>
  <c r="G130" i="6"/>
  <c r="E130" i="6"/>
  <c r="C130" i="6"/>
  <c r="O127" i="6"/>
  <c r="M127" i="6"/>
  <c r="K127" i="6"/>
  <c r="I127" i="6"/>
  <c r="G127" i="6"/>
  <c r="E127" i="6"/>
  <c r="C127" i="6"/>
  <c r="O124" i="6"/>
  <c r="M124" i="6"/>
  <c r="K124" i="6"/>
  <c r="I124" i="6"/>
  <c r="G124" i="6"/>
  <c r="E124" i="6"/>
  <c r="C124" i="6"/>
  <c r="O121" i="6"/>
  <c r="M121" i="6"/>
  <c r="K121" i="6"/>
  <c r="I121" i="6"/>
  <c r="G121" i="6"/>
  <c r="E121" i="6"/>
  <c r="C121" i="6"/>
  <c r="A104" i="6"/>
  <c r="L104" i="6"/>
  <c r="O99" i="6"/>
  <c r="M99" i="6"/>
  <c r="K99" i="6"/>
  <c r="I99" i="6"/>
  <c r="G99" i="6"/>
  <c r="E99" i="6"/>
  <c r="C99" i="6"/>
  <c r="O96" i="6"/>
  <c r="M96" i="6"/>
  <c r="K96" i="6"/>
  <c r="I96" i="6"/>
  <c r="G96" i="6"/>
  <c r="E96" i="6"/>
  <c r="C96" i="6"/>
  <c r="O93" i="6"/>
  <c r="M93" i="6"/>
  <c r="K93" i="6"/>
  <c r="I93" i="6"/>
  <c r="G93" i="6"/>
  <c r="E93" i="6"/>
  <c r="C93" i="6"/>
  <c r="O90" i="6"/>
  <c r="M90" i="6"/>
  <c r="K90" i="6"/>
  <c r="I90" i="6"/>
  <c r="G90" i="6"/>
  <c r="E90" i="6"/>
  <c r="C90" i="6"/>
  <c r="O87" i="6"/>
  <c r="M87" i="6"/>
  <c r="K87" i="6"/>
  <c r="I87" i="6"/>
  <c r="G87" i="6"/>
  <c r="E87" i="6"/>
  <c r="C87" i="6"/>
  <c r="L70" i="6"/>
  <c r="A70" i="6"/>
  <c r="O65" i="6"/>
  <c r="M65" i="6"/>
  <c r="K65" i="6"/>
  <c r="I65" i="6"/>
  <c r="G65" i="6"/>
  <c r="E65" i="6"/>
  <c r="C65" i="6"/>
  <c r="O62" i="6"/>
  <c r="M62" i="6"/>
  <c r="K62" i="6"/>
  <c r="I62" i="6"/>
  <c r="G62" i="6"/>
  <c r="E62" i="6"/>
  <c r="C62" i="6"/>
  <c r="O59" i="6"/>
  <c r="M59" i="6"/>
  <c r="K59" i="6"/>
  <c r="I59" i="6"/>
  <c r="G59" i="6"/>
  <c r="E59" i="6"/>
  <c r="C59" i="6"/>
  <c r="O56" i="6"/>
  <c r="M56" i="6"/>
  <c r="K56" i="6"/>
  <c r="I56" i="6"/>
  <c r="G56" i="6"/>
  <c r="E56" i="6"/>
  <c r="C56" i="6"/>
  <c r="O53" i="6"/>
  <c r="M53" i="6"/>
  <c r="K53" i="6"/>
  <c r="I53" i="6"/>
  <c r="G53" i="6"/>
  <c r="E53" i="6"/>
  <c r="C53" i="6"/>
  <c r="A36" i="6"/>
  <c r="L36" i="6"/>
  <c r="A2" i="6"/>
  <c r="O31" i="6"/>
  <c r="M31" i="6"/>
  <c r="K31" i="6"/>
  <c r="I31" i="6"/>
  <c r="G31" i="6"/>
  <c r="E31" i="6"/>
  <c r="C31" i="6"/>
  <c r="O28" i="6"/>
  <c r="M28" i="6"/>
  <c r="K28" i="6"/>
  <c r="I28" i="6"/>
  <c r="G28" i="6"/>
  <c r="E28" i="6"/>
  <c r="C28" i="6"/>
  <c r="O25" i="6"/>
  <c r="M25" i="6"/>
  <c r="K25" i="6"/>
  <c r="I25" i="6"/>
  <c r="G25" i="6"/>
  <c r="E25" i="6"/>
  <c r="C25" i="6"/>
  <c r="O22" i="6"/>
  <c r="M22" i="6"/>
  <c r="K22" i="6"/>
  <c r="I22" i="6"/>
  <c r="G22" i="6"/>
  <c r="E22" i="6"/>
  <c r="C22" i="6"/>
  <c r="O19" i="6"/>
  <c r="M19" i="6"/>
  <c r="K19" i="6"/>
  <c r="I19" i="6"/>
  <c r="G19" i="6"/>
  <c r="E19" i="6"/>
  <c r="C19" i="6"/>
</calcChain>
</file>

<file path=xl/sharedStrings.xml><?xml version="1.0" encoding="utf-8"?>
<sst xmlns="http://schemas.openxmlformats.org/spreadsheetml/2006/main" count="96" uniqueCount="8">
  <si>
    <t>MONDAY</t>
  </si>
  <si>
    <t>TUESDAY</t>
  </si>
  <si>
    <t>WEDNESDAY</t>
  </si>
  <si>
    <t>THURSDAY</t>
  </si>
  <si>
    <t>FRIDAY</t>
  </si>
  <si>
    <t>SATURDAY</t>
  </si>
  <si>
    <t>SUNDAY</t>
  </si>
  <si>
    <t>Sample Appointment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</si>
</sst>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
    <numFmt numFmtId="165" formatCode="mmmm\ yyyy"/>
    <numFmt numFmtId="166" formatCode="mmmm"/>
  </numFmts>
  <fonts count="38" x14ac:knownFonts="1">
    <font>
      <sz val="12"/>
      <color theme="1"/>
      <name val="Cambria"/>
      <family val="2"/>
      <scheme val="minor"/>
    </font>
    <font>
      <b/>
      <sz val="11"/>
      <color theme="0"/>
      <name val="Cambria"/>
      <family val="2"/>
      <scheme val="minor"/>
    </font>
    <font>
      <sz val="11"/>
      <name val="Cambria"/>
      <family val="2"/>
      <scheme val="minor"/>
    </font>
    <font>
      <sz val="10"/>
      <color indexed="63"/>
      <name val="Cambria"/>
      <family val="4"/>
      <scheme val="minor"/>
    </font>
    <font>
      <b/>
      <sz val="28"/>
      <color theme="1" tint="0.34998626667073579"/>
      <name val="Cambria"/>
      <family val="2"/>
      <scheme val="minor"/>
    </font>
    <font>
      <b/>
      <sz val="12"/>
      <color theme="4" tint="-0.249977111117893"/>
      <name val="Cambria"/>
      <family val="1"/>
      <scheme val="major"/>
    </font>
    <font>
      <sz val="40"/>
      <color theme="4"/>
      <name val="Cambria"/>
      <family val="1"/>
      <scheme val="major"/>
    </font>
    <font>
      <sz val="40"/>
      <color theme="4" tint="-0.249977111117893"/>
      <name val="Cambria"/>
      <family val="1"/>
      <scheme val="major"/>
    </font>
    <font>
      <sz val="11"/>
      <name val="Cambria"/>
      <family val="1"/>
      <scheme val="major"/>
    </font>
    <font>
      <sz val="10"/>
      <color theme="4" tint="-0.249977111117893"/>
      <name val="Cambria"/>
      <family val="1"/>
      <scheme val="major"/>
    </font>
    <font>
      <sz val="22"/>
      <color theme="4"/>
      <name val="Cambria"/>
      <family val="1"/>
      <scheme val="major"/>
    </font>
    <font>
      <sz val="40"/>
      <color theme="8"/>
      <name val="Cambria"/>
      <family val="1"/>
      <scheme val="major"/>
    </font>
    <font>
      <sz val="12"/>
      <color theme="1"/>
      <name val="Cambria"/>
      <family val="1"/>
      <scheme val="major"/>
    </font>
    <font>
      <sz val="10"/>
      <name val="Cambria"/>
      <family val="1"/>
      <scheme val="major"/>
    </font>
    <font>
      <b/>
      <sz val="40"/>
      <color theme="4" tint="-0.249977111117893"/>
      <name val="Cambria"/>
      <family val="1"/>
      <scheme val="major"/>
    </font>
    <font>
      <sz val="40"/>
      <color theme="5"/>
      <name val="Cambria"/>
      <family val="1"/>
      <scheme val="major"/>
    </font>
    <font>
      <sz val="40"/>
      <color theme="5" tint="-0.249977111117893"/>
      <name val="Cambria"/>
      <family val="1"/>
      <scheme val="major"/>
    </font>
    <font>
      <b/>
      <sz val="12"/>
      <color theme="5" tint="-0.249977111117893"/>
      <name val="Cambria"/>
      <family val="1"/>
      <scheme val="major"/>
    </font>
    <font>
      <sz val="10"/>
      <color theme="5" tint="-0.249977111117893"/>
      <name val="Cambria"/>
      <family val="1"/>
      <scheme val="major"/>
    </font>
    <font>
      <sz val="40"/>
      <color theme="7" tint="-0.249977111117893"/>
      <name val="Cambria"/>
      <family val="1"/>
      <scheme val="major"/>
    </font>
    <font>
      <sz val="40"/>
      <color theme="7"/>
      <name val="Cambria"/>
      <family val="1"/>
      <scheme val="major"/>
    </font>
    <font>
      <b/>
      <sz val="12"/>
      <color theme="7" tint="-0.249977111117893"/>
      <name val="Cambria"/>
      <family val="1"/>
      <scheme val="major"/>
    </font>
    <font>
      <sz val="10"/>
      <color theme="7" tint="-0.249977111117893"/>
      <name val="Cambria"/>
      <family val="1"/>
      <scheme val="major"/>
    </font>
    <font>
      <sz val="11"/>
      <name val="Cambria"/>
      <family val="1"/>
      <scheme val="minor"/>
    </font>
    <font>
      <sz val="11"/>
      <color theme="0"/>
      <name val="Cambria"/>
      <family val="1"/>
      <scheme val="minor"/>
    </font>
    <font>
      <sz val="10"/>
      <color theme="4" tint="-0.249977111117893"/>
      <name val="Cambria"/>
      <family val="1"/>
      <scheme val="minor"/>
    </font>
    <font>
      <sz val="10"/>
      <color theme="5" tint="-0.249977111117893"/>
      <name val="Cambria"/>
      <family val="1"/>
      <scheme val="minor"/>
    </font>
    <font>
      <sz val="10"/>
      <color theme="6" tint="-0.249977111117893"/>
      <name val="Cambria"/>
      <family val="1"/>
      <scheme val="minor"/>
    </font>
    <font>
      <sz val="10"/>
      <color theme="7" tint="-0.249977111117893"/>
      <name val="Cambria"/>
      <family val="1"/>
      <scheme val="minor"/>
    </font>
    <font>
      <sz val="11"/>
      <color theme="7" tint="-0.249977111117893"/>
      <name val="Cambria"/>
      <family val="1"/>
      <scheme val="major"/>
    </font>
    <font>
      <sz val="10"/>
      <color theme="0"/>
      <name val="Cambria"/>
      <family val="1"/>
      <scheme val="minor"/>
    </font>
    <font>
      <sz val="40"/>
      <color theme="2" tint="-0.749992370372631"/>
      <name val="Cambria"/>
      <family val="1"/>
      <scheme val="major"/>
    </font>
    <font>
      <b/>
      <sz val="12"/>
      <color theme="2" tint="-0.749992370372631"/>
      <name val="Cambria"/>
      <family val="1"/>
      <scheme val="major"/>
    </font>
    <font>
      <sz val="40"/>
      <color theme="8" tint="-0.249977111117893"/>
      <name val="Cambria"/>
      <family val="1"/>
      <scheme val="major"/>
    </font>
    <font>
      <b/>
      <sz val="12"/>
      <color theme="8" tint="-0.249977111117893"/>
      <name val="Cambria"/>
      <family val="1"/>
      <scheme val="major"/>
    </font>
    <font>
      <sz val="40"/>
      <color rgb="FF56B0AD"/>
      <name val="Cambria"/>
      <family val="1"/>
      <scheme val="major"/>
    </font>
    <font>
      <b/>
      <sz val="12"/>
      <color rgb="FF56B0AD"/>
      <name val="Cambria"/>
      <family val="1"/>
      <scheme val="major"/>
    </font>
    <font>
      <sz val="40"/>
      <color rgb="FF003E75"/>
      <name val="Cambria"/>
      <family val="1"/>
      <scheme val="major"/>
    </font>
  </fonts>
  <fills count="9">
    <fill>
      <patternFill patternType="none"/>
    </fill>
    <fill>
      <patternFill patternType="gray125"/>
    </fill>
    <fill>
      <patternFill patternType="solid">
        <fgColor theme="4"/>
      </patternFill>
    </fill>
    <fill>
      <patternFill patternType="solid">
        <fgColor theme="4" tint="0.59999389629810485"/>
        <bgColor indexed="65"/>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0" tint="-0.499984740745262"/>
        <bgColor indexed="64"/>
      </patternFill>
    </fill>
  </fills>
  <borders count="21">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right/>
      <top style="thin">
        <color theme="4" tint="-0.24994659260841701"/>
      </top>
      <bottom/>
      <diagonal/>
    </border>
    <border>
      <left/>
      <right style="thin">
        <color theme="4" tint="-0.24994659260841701"/>
      </right>
      <top/>
      <bottom/>
      <diagonal/>
    </border>
    <border>
      <left/>
      <right style="thin">
        <color theme="4" tint="-0.24994659260841701"/>
      </right>
      <top style="thin">
        <color theme="4" tint="-0.24994659260841701"/>
      </top>
      <bottom/>
      <diagonal/>
    </border>
    <border>
      <left style="thin">
        <color theme="4" tint="-0.24994659260841701"/>
      </left>
      <right style="thin">
        <color theme="4" tint="-0.24994659260841701"/>
      </right>
      <top/>
      <bottom/>
      <diagonal/>
    </border>
    <border>
      <left style="thin">
        <color theme="4" tint="-0.24994659260841701"/>
      </left>
      <right/>
      <top style="thin">
        <color theme="4" tint="-0.24994659260841701"/>
      </top>
      <bottom/>
      <diagonal/>
    </border>
    <border>
      <left/>
      <right/>
      <top/>
      <bottom style="thin">
        <color theme="4" tint="-0.24994659260841701"/>
      </bottom>
      <diagonal/>
    </border>
    <border>
      <left/>
      <right style="thin">
        <color theme="5" tint="-0.24994659260841701"/>
      </right>
      <top style="thin">
        <color theme="5" tint="-0.24994659260841701"/>
      </top>
      <bottom/>
      <diagonal/>
    </border>
    <border>
      <left/>
      <right style="thin">
        <color theme="5" tint="-0.24994659260841701"/>
      </right>
      <top/>
      <bottom/>
      <diagonal/>
    </border>
    <border>
      <left style="thin">
        <color theme="5" tint="-0.24994659260841701"/>
      </left>
      <right style="thin">
        <color theme="5" tint="-0.24994659260841701"/>
      </right>
      <top/>
      <bottom/>
      <diagonal/>
    </border>
    <border>
      <left style="thin">
        <color theme="5" tint="-0.24994659260841701"/>
      </left>
      <right/>
      <top style="thin">
        <color theme="5" tint="-0.24994659260841701"/>
      </top>
      <bottom/>
      <diagonal/>
    </border>
    <border>
      <left/>
      <right/>
      <top style="thin">
        <color theme="5" tint="-0.24994659260841701"/>
      </top>
      <bottom/>
      <diagonal/>
    </border>
    <border>
      <left/>
      <right style="thin">
        <color theme="6" tint="-0.24994659260841701"/>
      </right>
      <top/>
      <bottom/>
      <diagonal/>
    </border>
    <border>
      <left style="thin">
        <color theme="6" tint="-0.24994659260841701"/>
      </left>
      <right style="thin">
        <color theme="6" tint="-0.24994659260841701"/>
      </right>
      <top/>
      <bottom/>
      <diagonal/>
    </border>
    <border>
      <left/>
      <right style="thin">
        <color theme="6" tint="-0.24994659260841701"/>
      </right>
      <top style="thin">
        <color theme="6" tint="-0.24994659260841701"/>
      </top>
      <bottom/>
      <diagonal/>
    </border>
    <border>
      <left/>
      <right/>
      <top style="thin">
        <color theme="6" tint="-0.24994659260841701"/>
      </top>
      <bottom/>
      <diagonal/>
    </border>
    <border>
      <left/>
      <right style="thin">
        <color theme="7" tint="-0.24994659260841701"/>
      </right>
      <top style="thin">
        <color theme="7" tint="-0.24994659260841701"/>
      </top>
      <bottom/>
      <diagonal/>
    </border>
    <border>
      <left/>
      <right/>
      <top style="thin">
        <color theme="7" tint="-0.24994659260841701"/>
      </top>
      <bottom/>
      <diagonal/>
    </border>
    <border>
      <left/>
      <right style="thin">
        <color theme="7" tint="-0.24994659260841701"/>
      </right>
      <top/>
      <bottom/>
      <diagonal/>
    </border>
    <border>
      <left style="thin">
        <color theme="7" tint="-0.24994659260841701"/>
      </left>
      <right style="thin">
        <color theme="7" tint="-0.24994659260841701"/>
      </right>
      <top/>
      <bottom/>
      <diagonal/>
    </border>
  </borders>
  <cellStyleXfs count="5">
    <xf numFmtId="0" fontId="0" fillId="0" borderId="0"/>
    <xf numFmtId="0" fontId="2" fillId="0" borderId="0"/>
    <xf numFmtId="0" fontId="1" fillId="2" borderId="1" applyNumberFormat="0" applyAlignment="0" applyProtection="0"/>
    <xf numFmtId="0" fontId="3" fillId="3" borderId="0" applyNumberFormat="0" applyBorder="0" applyAlignment="0" applyProtection="0"/>
    <xf numFmtId="0" fontId="4" fillId="0" borderId="0" applyNumberFormat="0" applyFill="0" applyAlignment="0" applyProtection="0"/>
  </cellStyleXfs>
  <cellXfs count="92">
    <xf numFmtId="0" fontId="0" fillId="0" borderId="0" xfId="0"/>
    <xf numFmtId="165" fontId="6" fillId="0" borderId="0" xfId="1" applyNumberFormat="1" applyFont="1" applyBorder="1" applyAlignment="1">
      <alignment vertical="center"/>
    </xf>
    <xf numFmtId="165" fontId="7" fillId="0" borderId="0" xfId="1" applyNumberFormat="1" applyFont="1" applyBorder="1" applyAlignment="1">
      <alignment vertical="center"/>
    </xf>
    <xf numFmtId="0" fontId="10" fillId="0" borderId="0" xfId="0" applyFont="1"/>
    <xf numFmtId="165" fontId="11" fillId="0" borderId="0" xfId="1" applyNumberFormat="1" applyFont="1" applyBorder="1" applyAlignment="1">
      <alignment vertical="center"/>
    </xf>
    <xf numFmtId="0" fontId="8" fillId="0" borderId="0" xfId="1" applyFont="1"/>
    <xf numFmtId="0" fontId="12" fillId="0" borderId="0" xfId="0" applyFont="1"/>
    <xf numFmtId="0" fontId="8" fillId="0" borderId="0" xfId="1" applyFont="1" applyAlignment="1"/>
    <xf numFmtId="166" fontId="12" fillId="0" borderId="0" xfId="0" applyNumberFormat="1" applyFont="1"/>
    <xf numFmtId="0" fontId="12" fillId="0" borderId="0" xfId="0" applyFont="1" applyAlignment="1">
      <alignment horizontal="center"/>
    </xf>
    <xf numFmtId="0" fontId="8" fillId="0" borderId="0" xfId="1" applyFont="1" applyAlignment="1">
      <alignment horizontal="center"/>
    </xf>
    <xf numFmtId="0" fontId="13" fillId="0" borderId="0" xfId="1" applyFont="1" applyAlignment="1">
      <alignment horizontal="center"/>
    </xf>
    <xf numFmtId="0" fontId="13" fillId="0" borderId="0" xfId="1" applyFont="1"/>
    <xf numFmtId="165" fontId="14" fillId="0" borderId="0" xfId="1" applyNumberFormat="1" applyFont="1" applyBorder="1" applyAlignment="1">
      <alignment vertical="center"/>
    </xf>
    <xf numFmtId="0" fontId="8" fillId="0" borderId="0" xfId="1" applyFont="1"/>
    <xf numFmtId="0" fontId="8" fillId="0" borderId="0" xfId="1" applyFont="1"/>
    <xf numFmtId="0" fontId="8" fillId="0" borderId="0" xfId="1" applyFont="1" applyAlignment="1">
      <alignment vertical="top"/>
    </xf>
    <xf numFmtId="165" fontId="14" fillId="0" borderId="0" xfId="1" applyNumberFormat="1" applyFont="1" applyBorder="1" applyAlignment="1">
      <alignment vertical="top"/>
    </xf>
    <xf numFmtId="165" fontId="11" fillId="0" borderId="0" xfId="1" applyNumberFormat="1" applyFont="1" applyBorder="1" applyAlignment="1">
      <alignment vertical="top"/>
    </xf>
    <xf numFmtId="164" fontId="24" fillId="4" borderId="4" xfId="1" applyNumberFormat="1" applyFont="1" applyFill="1" applyBorder="1" applyAlignment="1">
      <alignment horizontal="center" vertical="top" wrapText="1"/>
    </xf>
    <xf numFmtId="0" fontId="23" fillId="0" borderId="0" xfId="1" applyFont="1"/>
    <xf numFmtId="164" fontId="24" fillId="5" borderId="8" xfId="1" applyNumberFormat="1" applyFont="1" applyFill="1" applyBorder="1" applyAlignment="1">
      <alignment horizontal="center" vertical="top" wrapText="1"/>
    </xf>
    <xf numFmtId="164" fontId="24" fillId="6" borderId="15" xfId="1" applyNumberFormat="1" applyFont="1" applyFill="1" applyBorder="1" applyAlignment="1">
      <alignment horizontal="center" vertical="top" wrapText="1"/>
    </xf>
    <xf numFmtId="164" fontId="24" fillId="7" borderId="17" xfId="1" applyNumberFormat="1" applyFont="1" applyFill="1" applyBorder="1" applyAlignment="1">
      <alignment horizontal="center" vertical="top" wrapText="1"/>
    </xf>
    <xf numFmtId="0" fontId="29" fillId="0" borderId="0" xfId="1" applyFont="1"/>
    <xf numFmtId="0" fontId="25" fillId="0" borderId="2" xfId="1" applyFont="1" applyBorder="1" applyAlignment="1">
      <alignment horizontal="center"/>
    </xf>
    <xf numFmtId="164" fontId="25" fillId="0" borderId="6" xfId="1" applyNumberFormat="1" applyFont="1" applyFill="1" applyBorder="1" applyAlignment="1">
      <alignment horizontal="center" vertical="top" wrapText="1"/>
    </xf>
    <xf numFmtId="164" fontId="25" fillId="0" borderId="2" xfId="1" applyNumberFormat="1" applyFont="1" applyFill="1" applyBorder="1" applyAlignment="1">
      <alignment horizontal="center" vertical="top" wrapText="1"/>
    </xf>
    <xf numFmtId="0" fontId="9" fillId="0" borderId="0" xfId="1" applyFont="1"/>
    <xf numFmtId="0" fontId="28" fillId="0" borderId="18" xfId="1" applyFont="1" applyBorder="1" applyAlignment="1">
      <alignment horizontal="center"/>
    </xf>
    <xf numFmtId="164" fontId="28" fillId="0" borderId="18" xfId="1" applyNumberFormat="1" applyFont="1" applyFill="1" applyBorder="1" applyAlignment="1">
      <alignment horizontal="center" vertical="top" wrapText="1"/>
    </xf>
    <xf numFmtId="0" fontId="22" fillId="0" borderId="0" xfId="1" applyFont="1"/>
    <xf numFmtId="0" fontId="28" fillId="0" borderId="0" xfId="1" applyFont="1"/>
    <xf numFmtId="0" fontId="27" fillId="0" borderId="16" xfId="1" applyFont="1" applyBorder="1" applyAlignment="1">
      <alignment horizontal="center"/>
    </xf>
    <xf numFmtId="164" fontId="27" fillId="0" borderId="16" xfId="1" applyNumberFormat="1" applyFont="1" applyFill="1" applyBorder="1" applyAlignment="1">
      <alignment horizontal="center" vertical="top" wrapText="1"/>
    </xf>
    <xf numFmtId="164" fontId="27" fillId="0" borderId="15" xfId="1" applyNumberFormat="1" applyFont="1" applyFill="1" applyBorder="1" applyAlignment="1">
      <alignment horizontal="center" vertical="top" wrapText="1"/>
    </xf>
    <xf numFmtId="0" fontId="27" fillId="0" borderId="0" xfId="1" applyFont="1"/>
    <xf numFmtId="0" fontId="26" fillId="0" borderId="12" xfId="1" applyFont="1" applyBorder="1" applyAlignment="1">
      <alignment horizontal="center"/>
    </xf>
    <xf numFmtId="164" fontId="26" fillId="0" borderId="11" xfId="1" applyNumberFormat="1" applyFont="1" applyFill="1" applyBorder="1" applyAlignment="1">
      <alignment horizontal="center" vertical="top" wrapText="1"/>
    </xf>
    <xf numFmtId="164" fontId="26" fillId="0" borderId="12" xfId="1" applyNumberFormat="1" applyFont="1" applyFill="1" applyBorder="1" applyAlignment="1">
      <alignment horizontal="center" vertical="top" wrapText="1"/>
    </xf>
    <xf numFmtId="0" fontId="18" fillId="0" borderId="0" xfId="1" applyFont="1"/>
    <xf numFmtId="0" fontId="25" fillId="0" borderId="0" xfId="1" applyFont="1"/>
    <xf numFmtId="164" fontId="24" fillId="8" borderId="4" xfId="1" applyNumberFormat="1" applyFont="1" applyFill="1" applyBorder="1" applyAlignment="1">
      <alignment horizontal="center" vertical="top" wrapText="1"/>
    </xf>
    <xf numFmtId="164" fontId="24" fillId="8" borderId="3" xfId="1" applyNumberFormat="1" applyFont="1" applyFill="1" applyBorder="1" applyAlignment="1">
      <alignment horizontal="center" vertical="top" wrapText="1"/>
    </xf>
    <xf numFmtId="164" fontId="24" fillId="8" borderId="8" xfId="1" applyNumberFormat="1" applyFont="1" applyFill="1" applyBorder="1" applyAlignment="1">
      <alignment horizontal="center" vertical="top" wrapText="1"/>
    </xf>
    <xf numFmtId="164" fontId="30" fillId="5" borderId="8" xfId="1" applyNumberFormat="1" applyFont="1" applyFill="1" applyBorder="1" applyAlignment="1">
      <alignment horizontal="center" vertical="top" wrapText="1"/>
    </xf>
    <xf numFmtId="164" fontId="24" fillId="8" borderId="15" xfId="1" applyNumberFormat="1" applyFont="1" applyFill="1" applyBorder="1" applyAlignment="1">
      <alignment horizontal="center" vertical="top" wrapText="1"/>
    </xf>
    <xf numFmtId="164" fontId="30" fillId="6" borderId="15" xfId="1" applyNumberFormat="1" applyFont="1" applyFill="1" applyBorder="1" applyAlignment="1">
      <alignment horizontal="center" vertical="top" wrapText="1"/>
    </xf>
    <xf numFmtId="164" fontId="24" fillId="8" borderId="17" xfId="1" applyNumberFormat="1" applyFont="1" applyFill="1" applyBorder="1" applyAlignment="1">
      <alignment horizontal="center" vertical="top" wrapText="1"/>
    </xf>
    <xf numFmtId="0" fontId="7" fillId="0" borderId="0" xfId="1" applyNumberFormat="1" applyFont="1" applyBorder="1" applyAlignment="1">
      <alignment vertical="top"/>
    </xf>
    <xf numFmtId="0" fontId="5" fillId="0" borderId="0" xfId="2" applyFont="1" applyFill="1" applyBorder="1" applyAlignment="1">
      <alignment horizontal="center"/>
    </xf>
    <xf numFmtId="0" fontId="25" fillId="0" borderId="3" xfId="1" applyFont="1" applyFill="1" applyBorder="1" applyAlignment="1">
      <alignment horizontal="left" vertical="top" wrapText="1"/>
    </xf>
    <xf numFmtId="0" fontId="25" fillId="0" borderId="5" xfId="1" applyFont="1" applyFill="1" applyBorder="1" applyAlignment="1">
      <alignment horizontal="left" vertical="top" wrapText="1"/>
    </xf>
    <xf numFmtId="0" fontId="25" fillId="0" borderId="5" xfId="3" applyFont="1" applyFill="1" applyBorder="1" applyAlignment="1">
      <alignment horizontal="left" vertical="top" wrapText="1"/>
    </xf>
    <xf numFmtId="0" fontId="5" fillId="0" borderId="7" xfId="2" applyFont="1" applyFill="1" applyBorder="1" applyAlignment="1">
      <alignment horizontal="center"/>
    </xf>
    <xf numFmtId="0" fontId="25" fillId="0" borderId="0" xfId="1" applyFont="1" applyFill="1" applyBorder="1" applyAlignment="1">
      <alignment horizontal="center" vertical="top" wrapText="1"/>
    </xf>
    <xf numFmtId="0" fontId="25" fillId="0" borderId="0" xfId="3" applyFont="1" applyFill="1" applyBorder="1" applyAlignment="1">
      <alignment horizontal="center" vertical="top" wrapText="1"/>
    </xf>
    <xf numFmtId="165" fontId="6" fillId="0" borderId="0" xfId="1" applyNumberFormat="1" applyFont="1" applyBorder="1" applyAlignment="1">
      <alignment horizontal="left" vertical="top" indent="2"/>
    </xf>
    <xf numFmtId="0" fontId="8" fillId="0" borderId="0" xfId="1" applyFont="1"/>
    <xf numFmtId="0" fontId="16" fillId="0" borderId="0" xfId="1" applyNumberFormat="1" applyFont="1" applyBorder="1" applyAlignment="1">
      <alignment vertical="top"/>
    </xf>
    <xf numFmtId="0" fontId="17" fillId="0" borderId="0" xfId="2" applyFont="1" applyFill="1" applyBorder="1" applyAlignment="1">
      <alignment horizontal="center"/>
    </xf>
    <xf numFmtId="165" fontId="15" fillId="0" borderId="0" xfId="1" applyNumberFormat="1" applyFont="1" applyBorder="1" applyAlignment="1">
      <alignment horizontal="left" vertical="top" indent="2"/>
    </xf>
    <xf numFmtId="0" fontId="26" fillId="0" borderId="10" xfId="3" applyFont="1" applyFill="1" applyBorder="1" applyAlignment="1">
      <alignment horizontal="left" vertical="top" wrapText="1"/>
    </xf>
    <xf numFmtId="0" fontId="26" fillId="0" borderId="0" xfId="1" applyFont="1" applyFill="1" applyBorder="1" applyAlignment="1">
      <alignment horizontal="center" vertical="top" wrapText="1"/>
    </xf>
    <xf numFmtId="0" fontId="26" fillId="0" borderId="0" xfId="3" applyFont="1" applyFill="1" applyBorder="1" applyAlignment="1">
      <alignment horizontal="center" vertical="top" wrapText="1"/>
    </xf>
    <xf numFmtId="0" fontId="26" fillId="0" borderId="9" xfId="1" applyFont="1" applyFill="1" applyBorder="1" applyAlignment="1">
      <alignment horizontal="left" vertical="top" wrapText="1"/>
    </xf>
    <xf numFmtId="0" fontId="26" fillId="0" borderId="10" xfId="1" applyFont="1" applyFill="1" applyBorder="1" applyAlignment="1">
      <alignment horizontal="left" vertical="top" wrapText="1"/>
    </xf>
    <xf numFmtId="0" fontId="37" fillId="0" borderId="0" xfId="1" applyNumberFormat="1" applyFont="1" applyBorder="1" applyAlignment="1">
      <alignment vertical="top"/>
    </xf>
    <xf numFmtId="0" fontId="32" fillId="0" borderId="0" xfId="2" applyFont="1" applyFill="1" applyBorder="1" applyAlignment="1">
      <alignment horizontal="center"/>
    </xf>
    <xf numFmtId="165" fontId="37" fillId="0" borderId="0" xfId="1" applyNumberFormat="1" applyFont="1" applyBorder="1" applyAlignment="1">
      <alignment horizontal="left" vertical="top" indent="2"/>
    </xf>
    <xf numFmtId="0" fontId="31" fillId="0" borderId="0" xfId="1" applyNumberFormat="1" applyFont="1" applyBorder="1" applyAlignment="1">
      <alignment vertical="top"/>
    </xf>
    <xf numFmtId="0" fontId="27" fillId="0" borderId="14" xfId="3" applyFont="1" applyFill="1" applyBorder="1" applyAlignment="1">
      <alignment horizontal="left" vertical="top" wrapText="1"/>
    </xf>
    <xf numFmtId="0" fontId="27" fillId="0" borderId="0" xfId="1" applyFont="1" applyFill="1" applyBorder="1" applyAlignment="1">
      <alignment horizontal="center" vertical="top" wrapText="1"/>
    </xf>
    <xf numFmtId="0" fontId="27" fillId="0" borderId="0" xfId="3" applyFont="1" applyFill="1" applyBorder="1" applyAlignment="1">
      <alignment horizontal="center" vertical="top" wrapText="1"/>
    </xf>
    <xf numFmtId="0" fontId="27" fillId="0" borderId="13" xfId="1" applyFont="1" applyFill="1" applyBorder="1" applyAlignment="1">
      <alignment horizontal="left" vertical="top" wrapText="1"/>
    </xf>
    <xf numFmtId="0" fontId="27" fillId="0" borderId="14" xfId="1" applyFont="1" applyFill="1" applyBorder="1" applyAlignment="1">
      <alignment horizontal="left" vertical="top" wrapText="1"/>
    </xf>
    <xf numFmtId="0" fontId="33" fillId="0" borderId="0" xfId="1" applyNumberFormat="1" applyFont="1" applyBorder="1" applyAlignment="1">
      <alignment vertical="top"/>
    </xf>
    <xf numFmtId="0" fontId="34" fillId="0" borderId="0" xfId="2" applyFont="1" applyFill="1" applyBorder="1" applyAlignment="1">
      <alignment horizontal="center"/>
    </xf>
    <xf numFmtId="165" fontId="33" fillId="0" borderId="0" xfId="1" applyNumberFormat="1" applyFont="1" applyBorder="1" applyAlignment="1">
      <alignment horizontal="left" vertical="top" indent="2"/>
    </xf>
    <xf numFmtId="0" fontId="19" fillId="0" borderId="0" xfId="1" applyNumberFormat="1" applyFont="1" applyBorder="1" applyAlignment="1">
      <alignment vertical="top"/>
    </xf>
    <xf numFmtId="0" fontId="21" fillId="0" borderId="0" xfId="2" applyFont="1" applyFill="1" applyBorder="1" applyAlignment="1">
      <alignment horizontal="center"/>
    </xf>
    <xf numFmtId="165" fontId="20" fillId="0" borderId="0" xfId="1" applyNumberFormat="1" applyFont="1" applyBorder="1" applyAlignment="1">
      <alignment horizontal="left" vertical="top" indent="2"/>
    </xf>
    <xf numFmtId="0" fontId="28" fillId="0" borderId="20" xfId="3" applyFont="1" applyFill="1" applyBorder="1" applyAlignment="1">
      <alignment horizontal="left" vertical="top" wrapText="1"/>
    </xf>
    <xf numFmtId="0" fontId="28" fillId="0" borderId="0" xfId="1" applyFont="1" applyFill="1" applyBorder="1" applyAlignment="1">
      <alignment horizontal="center" vertical="top" wrapText="1"/>
    </xf>
    <xf numFmtId="0" fontId="28" fillId="0" borderId="0" xfId="3" applyFont="1" applyFill="1" applyBorder="1" applyAlignment="1">
      <alignment horizontal="center" vertical="top" wrapText="1"/>
    </xf>
    <xf numFmtId="0" fontId="28" fillId="0" borderId="19" xfId="1" applyFont="1" applyFill="1" applyBorder="1" applyAlignment="1">
      <alignment horizontal="left" vertical="top" wrapText="1"/>
    </xf>
    <xf numFmtId="0" fontId="28" fillId="0" borderId="20" xfId="1" applyFont="1" applyFill="1" applyBorder="1" applyAlignment="1">
      <alignment horizontal="left" vertical="top" wrapText="1"/>
    </xf>
    <xf numFmtId="0" fontId="28" fillId="0" borderId="20" xfId="2" applyFont="1" applyFill="1" applyBorder="1" applyAlignment="1">
      <alignment horizontal="left" vertical="top" wrapText="1"/>
    </xf>
    <xf numFmtId="0" fontId="35" fillId="0" borderId="0" xfId="1" applyNumberFormat="1" applyFont="1" applyBorder="1" applyAlignment="1">
      <alignment vertical="top"/>
    </xf>
    <xf numFmtId="0" fontId="36" fillId="0" borderId="0" xfId="2" applyFont="1" applyFill="1" applyBorder="1" applyAlignment="1">
      <alignment horizontal="center"/>
    </xf>
    <xf numFmtId="165" fontId="35" fillId="0" borderId="0" xfId="1" applyNumberFormat="1" applyFont="1" applyBorder="1" applyAlignment="1">
      <alignment horizontal="left" vertical="top" indent="2"/>
    </xf>
    <xf numFmtId="0" fontId="25" fillId="0" borderId="5" xfId="2" applyFont="1" applyFill="1" applyBorder="1" applyAlignment="1">
      <alignment horizontal="left" vertical="top" wrapText="1"/>
    </xf>
  </cellXfs>
  <cellStyles count="5">
    <cellStyle name="40% - Accent1 2" xfId="3" xr:uid="{00000000-0005-0000-0000-000000000000}"/>
    <cellStyle name="Accent1 2" xfId="2" xr:uid="{00000000-0005-0000-0000-000001000000}"/>
    <cellStyle name="Heading 1 2" xfId="4" xr:uid="{00000000-0005-0000-0000-000002000000}"/>
    <cellStyle name="Normal" xfId="0" builtinId="0" customBuiltin="1"/>
    <cellStyle name="Normal 2" xfId="1" xr:uid="{00000000-0005-0000-0000-000004000000}"/>
  </cellStyles>
  <dxfs count="47">
    <dxf>
      <font>
        <color theme="0"/>
      </font>
      <fill>
        <patternFill>
          <bgColor theme="0" tint="-0.14996795556505021"/>
        </patternFill>
      </fill>
    </dxf>
    <dxf>
      <font>
        <b/>
        <i val="0"/>
        <color theme="0"/>
      </font>
      <fill>
        <patternFill>
          <bgColor theme="4"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7"/>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7"/>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7"/>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6"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6"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6"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5"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5"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5"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4"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4" tint="-0.24994659260841701"/>
        </patternFill>
      </fill>
    </dxf>
    <dxf>
      <font>
        <color theme="0"/>
      </font>
      <fill>
        <patternFill>
          <bgColor theme="0" tint="-0.14996795556505021"/>
        </patternFill>
      </fill>
    </dxf>
    <dxf>
      <font>
        <b/>
        <color theme="1"/>
      </font>
      <border diagonalUp="0" diagonalDown="0">
        <left/>
        <right/>
        <top/>
        <bottom/>
        <vertical/>
        <horizontal/>
      </border>
    </dxf>
    <dxf>
      <font>
        <b/>
        <color theme="1"/>
      </font>
      <border>
        <top style="double">
          <color theme="6" tint="-0.24994659260841701"/>
        </top>
      </border>
    </dxf>
    <dxf>
      <font>
        <color theme="0"/>
      </font>
      <fill>
        <patternFill patternType="solid">
          <fgColor theme="4"/>
          <bgColor theme="7"/>
        </patternFill>
      </fill>
      <border diagonalUp="0" diagonalDown="0">
        <left/>
        <right/>
        <top/>
        <bottom/>
        <vertical/>
        <horizontal/>
      </border>
    </dxf>
    <dxf>
      <font>
        <color theme="1"/>
      </font>
      <fill>
        <patternFill>
          <bgColor theme="0"/>
        </patternFill>
      </fill>
      <border>
        <left style="thin">
          <color theme="9" tint="0.59996337778862885"/>
        </left>
        <right style="thin">
          <color theme="9" tint="0.59996337778862885"/>
        </right>
        <top style="thin">
          <color theme="9" tint="0.59996337778862885"/>
        </top>
        <bottom style="thin">
          <color theme="9" tint="0.59996337778862885"/>
        </bottom>
        <vertical/>
        <horizontal style="dashDotDot">
          <color theme="9" tint="0.59996337778862885"/>
        </horizontal>
      </border>
    </dxf>
    <dxf>
      <fill>
        <patternFill patternType="solid">
          <fgColor theme="9" tint="0.79998168889431442"/>
          <bgColor theme="9" tint="0.79998168889431442"/>
        </patternFill>
      </fill>
    </dxf>
    <dxf>
      <fill>
        <patternFill patternType="solid">
          <fgColor theme="9" tint="0.79998168889431442"/>
          <bgColor theme="9" tint="0.79998168889431442"/>
        </patternFill>
      </fill>
    </dxf>
    <dxf>
      <font>
        <b/>
        <color theme="9" tint="-0.249977111117893"/>
      </font>
    </dxf>
    <dxf>
      <font>
        <b/>
        <color theme="9" tint="-0.249977111117893"/>
      </font>
    </dxf>
    <dxf>
      <font>
        <b/>
        <color theme="9" tint="-0.249977111117893"/>
      </font>
      <border>
        <top style="thin">
          <color theme="9"/>
        </top>
      </border>
    </dxf>
    <dxf>
      <font>
        <b/>
        <color theme="9" tint="-0.249977111117893"/>
      </font>
      <border>
        <bottom style="thin">
          <color theme="9"/>
        </bottom>
      </border>
    </dxf>
    <dxf>
      <font>
        <color theme="9" tint="-0.249977111117893"/>
      </font>
      <fill>
        <patternFill>
          <bgColor theme="0"/>
        </patternFill>
      </fill>
      <border>
        <top style="thin">
          <color theme="9"/>
        </top>
        <bottom style="thin">
          <color theme="9"/>
        </bottom>
      </border>
    </dxf>
  </dxfs>
  <tableStyles count="2" defaultTableStyle="TableStyleMedium2" defaultPivotStyle="PivotStyleLight16">
    <tableStyle name="TableStyleLight7 2" pivot="0" count="7" xr9:uid="{00000000-0011-0000-FFFF-FFFF00000000}">
      <tableStyleElement type="wholeTable" dxfId="46"/>
      <tableStyleElement type="headerRow" dxfId="45"/>
      <tableStyleElement type="totalRow" dxfId="44"/>
      <tableStyleElement type="firstColumn" dxfId="43"/>
      <tableStyleElement type="lastColumn" dxfId="42"/>
      <tableStyleElement type="firstRowStripe" dxfId="41"/>
      <tableStyleElement type="firstColumnStripe" dxfId="40"/>
    </tableStyle>
    <tableStyle name="TableStyleLight9 2" pivot="0" count="4" xr9:uid="{00000000-0011-0000-FFFF-FFFF01000000}">
      <tableStyleElement type="wholeTable" dxfId="39"/>
      <tableStyleElement type="headerRow" dxfId="38"/>
      <tableStyleElement type="totalRow" dxfId="37"/>
      <tableStyleElement type="firstColumn" dxfId="36"/>
    </tableStyle>
  </tableStyles>
  <colors>
    <mruColors>
      <color rgb="FF003E75"/>
      <color rgb="FF56B0AD"/>
      <color rgb="FFF45500"/>
      <color rgb="FF3F8583"/>
      <color rgb="FFB1CFCE"/>
      <color rgb="FFD9D9D9"/>
      <color rgb="FF136C69"/>
      <color rgb="FF56B053"/>
      <color rgb="FFC17529"/>
      <color rgb="FFFD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pin" dx="16" fmlaLink="$L$2" max="2999" min="1900" page="10" val="2019"/>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image" Target="../media/image12.jpeg"/><Relationship Id="rId18" Type="http://schemas.openxmlformats.org/officeDocument/2006/relationships/image" Target="../media/image16.jpeg"/><Relationship Id="rId3" Type="http://schemas.openxmlformats.org/officeDocument/2006/relationships/image" Target="../media/image3.wmf"/><Relationship Id="rId7" Type="http://schemas.openxmlformats.org/officeDocument/2006/relationships/image" Target="../media/image6.jpeg"/><Relationship Id="rId12" Type="http://schemas.openxmlformats.org/officeDocument/2006/relationships/image" Target="../media/image11.jpeg"/><Relationship Id="rId17" Type="http://schemas.openxmlformats.org/officeDocument/2006/relationships/image" Target="../media/image15.jpeg"/><Relationship Id="rId2" Type="http://schemas.openxmlformats.org/officeDocument/2006/relationships/image" Target="../media/image2.wmf"/><Relationship Id="rId16" Type="http://schemas.microsoft.com/office/2007/relationships/hdphoto" Target="../media/hdphoto2.wdp"/><Relationship Id="rId1" Type="http://schemas.openxmlformats.org/officeDocument/2006/relationships/image" Target="../media/image1.wmf"/><Relationship Id="rId6" Type="http://schemas.microsoft.com/office/2007/relationships/hdphoto" Target="../media/hdphoto1.wdp"/><Relationship Id="rId11" Type="http://schemas.openxmlformats.org/officeDocument/2006/relationships/image" Target="../media/image10.png"/><Relationship Id="rId5" Type="http://schemas.openxmlformats.org/officeDocument/2006/relationships/image" Target="../media/image5.jpeg"/><Relationship Id="rId15" Type="http://schemas.openxmlformats.org/officeDocument/2006/relationships/image" Target="../media/image14.png"/><Relationship Id="rId10" Type="http://schemas.openxmlformats.org/officeDocument/2006/relationships/image" Target="../media/image9.jpeg"/><Relationship Id="rId4" Type="http://schemas.openxmlformats.org/officeDocument/2006/relationships/image" Target="../media/image4.wmf"/><Relationship Id="rId9" Type="http://schemas.openxmlformats.org/officeDocument/2006/relationships/image" Target="../media/image8.jpeg"/><Relationship Id="rId14"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xdr:from>
      <xdr:col>9</xdr:col>
      <xdr:colOff>371476</xdr:colOff>
      <xdr:row>0</xdr:row>
      <xdr:rowOff>152399</xdr:rowOff>
    </xdr:from>
    <xdr:to>
      <xdr:col>11</xdr:col>
      <xdr:colOff>771121</xdr:colOff>
      <xdr:row>3</xdr:row>
      <xdr:rowOff>38099</xdr:rowOff>
    </xdr:to>
    <xdr:pic>
      <xdr:nvPicPr>
        <xdr:cNvPr id="3" name="Picture 2" title="Winter image - tree and snowflakes">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duotone>
            <a:prstClr val="black"/>
            <a:schemeClr val="accent1">
              <a:tint val="45000"/>
              <a:satMod val="400000"/>
            </a:schemeClr>
          </a:duotone>
          <a:extLst>
            <a:ext uri="{28A0092B-C50C-407E-A947-70E740481C1C}">
              <a14:useLocalDpi xmlns:a14="http://schemas.microsoft.com/office/drawing/2010/main" val="0"/>
            </a:ext>
          </a:extLst>
        </a:blip>
        <a:stretch>
          <a:fillRect/>
        </a:stretch>
      </xdr:blipFill>
      <xdr:spPr>
        <a:xfrm>
          <a:off x="4848226" y="152399"/>
          <a:ext cx="1437870" cy="942975"/>
        </a:xfrm>
        <a:prstGeom prst="rect">
          <a:avLst/>
        </a:prstGeom>
      </xdr:spPr>
    </xdr:pic>
    <xdr:clientData/>
  </xdr:twoCellAnchor>
  <xdr:twoCellAnchor>
    <xdr:from>
      <xdr:col>1</xdr:col>
      <xdr:colOff>4064</xdr:colOff>
      <xdr:row>2</xdr:row>
      <xdr:rowOff>28573</xdr:rowOff>
    </xdr:from>
    <xdr:to>
      <xdr:col>15</xdr:col>
      <xdr:colOff>13737</xdr:colOff>
      <xdr:row>17</xdr:row>
      <xdr:rowOff>22858</xdr:rowOff>
    </xdr:to>
    <xdr:sp macro="" textlink="">
      <xdr:nvSpPr>
        <xdr:cNvPr id="2" name="Rectangle 1" title="Winter color block behind picture">
          <a:extLst>
            <a:ext uri="{FF2B5EF4-FFF2-40B4-BE49-F238E27FC236}">
              <a16:creationId xmlns:a16="http://schemas.microsoft.com/office/drawing/2014/main" id="{00000000-0008-0000-0000-000002000000}"/>
            </a:ext>
          </a:extLst>
        </xdr:cNvPr>
        <xdr:cNvSpPr/>
      </xdr:nvSpPr>
      <xdr:spPr>
        <a:xfrm>
          <a:off x="327914" y="895348"/>
          <a:ext cx="7277248" cy="3566160"/>
        </a:xfrm>
        <a:prstGeom prst="rect">
          <a:avLst/>
        </a:prstGeom>
        <a:gradFill>
          <a:gsLst>
            <a:gs pos="0">
              <a:schemeClr val="accent1"/>
            </a:gs>
            <a:gs pos="52000">
              <a:schemeClr val="accent1">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66675</xdr:colOff>
      <xdr:row>2</xdr:row>
      <xdr:rowOff>123825</xdr:rowOff>
    </xdr:from>
    <xdr:to>
      <xdr:col>14</xdr:col>
      <xdr:colOff>153924</xdr:colOff>
      <xdr:row>16</xdr:row>
      <xdr:rowOff>123824</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295900" y="990600"/>
          <a:ext cx="2144649" cy="3333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mj-lt"/>
            </a:rPr>
            <a:t>New Year,</a:t>
          </a:r>
          <a:r>
            <a:rPr lang="en-US" sz="1600" b="1" baseline="0">
              <a:solidFill>
                <a:schemeClr val="bg1"/>
              </a:solidFill>
              <a:latin typeface="+mj-lt"/>
            </a:rPr>
            <a:t> New You?</a:t>
          </a:r>
          <a:br>
            <a:rPr lang="en-US" sz="1600" b="1" baseline="0">
              <a:solidFill>
                <a:schemeClr val="bg1"/>
              </a:solidFill>
              <a:latin typeface="+mj-lt"/>
            </a:rPr>
          </a:br>
          <a:r>
            <a:rPr lang="en-US" sz="1300">
              <a:solidFill>
                <a:schemeClr val="bg1"/>
              </a:solidFill>
              <a:latin typeface="+mn-lt"/>
            </a:rPr>
            <a:t>For this year's</a:t>
          </a:r>
          <a:r>
            <a:rPr lang="en-US" sz="1300" baseline="0">
              <a:solidFill>
                <a:schemeClr val="bg1"/>
              </a:solidFill>
              <a:latin typeface="+mn-lt"/>
            </a:rPr>
            <a:t> resolution, start your Quit Plan! </a:t>
          </a:r>
        </a:p>
        <a:p>
          <a:r>
            <a:rPr lang="en-US" sz="1300" baseline="0">
              <a:solidFill>
                <a:schemeClr val="bg1"/>
              </a:solidFill>
              <a:latin typeface="+mn-lt"/>
            </a:rPr>
            <a:t>I, </a:t>
          </a:r>
          <a:r>
            <a:rPr lang="en-US" sz="1300" u="sng" baseline="0">
              <a:solidFill>
                <a:schemeClr val="bg1"/>
              </a:solidFill>
              <a:latin typeface="+mn-lt"/>
            </a:rPr>
            <a:t>_______________</a:t>
          </a:r>
          <a:r>
            <a:rPr lang="en-US" sz="1300" u="none" baseline="0">
              <a:solidFill>
                <a:schemeClr val="bg1"/>
              </a:solidFill>
              <a:latin typeface="+mn-lt"/>
            </a:rPr>
            <a:t>, plan to quit smoking by ______________.</a:t>
          </a:r>
        </a:p>
        <a:p>
          <a:r>
            <a:rPr lang="en-US" sz="1300" u="none" baseline="0">
              <a:solidFill>
                <a:schemeClr val="bg1"/>
              </a:solidFill>
              <a:latin typeface="+mn-lt"/>
            </a:rPr>
            <a:t>I want to quit smoking because _____________________.</a:t>
          </a:r>
        </a:p>
        <a:p>
          <a:r>
            <a:rPr lang="en-US" sz="1300" u="none" baseline="0">
              <a:solidFill>
                <a:schemeClr val="bg1"/>
              </a:solidFill>
              <a:latin typeface="+mn-lt"/>
            </a:rPr>
            <a:t>My triggers include _________________________________________________. I will help fight my cravings by ______________________________________. For counseling, call</a:t>
          </a:r>
        </a:p>
        <a:p>
          <a:r>
            <a:rPr lang="en-US" sz="1300" u="none" baseline="0">
              <a:solidFill>
                <a:schemeClr val="bg1"/>
              </a:solidFill>
              <a:latin typeface="+mn-lt"/>
            </a:rPr>
            <a:t> 1-800-QUIT-NOW</a:t>
          </a:r>
          <a:r>
            <a:rPr lang="en-US" sz="1300" u="sng" baseline="0">
              <a:solidFill>
                <a:schemeClr val="bg1"/>
              </a:solidFill>
              <a:latin typeface="+mn-lt"/>
            </a:rPr>
            <a:t>      </a:t>
          </a:r>
          <a:r>
            <a:rPr lang="en-US" sz="1200" u="sng" baseline="0">
              <a:solidFill>
                <a:schemeClr val="bg1"/>
              </a:solidFill>
              <a:latin typeface="+mn-lt"/>
            </a:rPr>
            <a:t>   </a:t>
          </a:r>
          <a:endParaRPr lang="en-US" sz="1200" baseline="0">
            <a:solidFill>
              <a:schemeClr val="bg1"/>
            </a:solidFill>
            <a:latin typeface="+mn-lt"/>
          </a:endParaRPr>
        </a:p>
      </xdr:txBody>
    </xdr:sp>
    <xdr:clientData/>
  </xdr:twoCellAnchor>
  <xdr:twoCellAnchor>
    <xdr:from>
      <xdr:col>9</xdr:col>
      <xdr:colOff>371476</xdr:colOff>
      <xdr:row>34</xdr:row>
      <xdr:rowOff>152399</xdr:rowOff>
    </xdr:from>
    <xdr:to>
      <xdr:col>11</xdr:col>
      <xdr:colOff>771121</xdr:colOff>
      <xdr:row>37</xdr:row>
      <xdr:rowOff>38099</xdr:rowOff>
    </xdr:to>
    <xdr:pic>
      <xdr:nvPicPr>
        <xdr:cNvPr id="6" name="Picture 5" title="Winter image - tree and snowflakes">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duotone>
            <a:prstClr val="black"/>
            <a:schemeClr val="accent1">
              <a:tint val="45000"/>
              <a:satMod val="400000"/>
            </a:schemeClr>
          </a:duotone>
          <a:extLst>
            <a:ext uri="{28A0092B-C50C-407E-A947-70E740481C1C}">
              <a14:useLocalDpi xmlns:a14="http://schemas.microsoft.com/office/drawing/2010/main" val="0"/>
            </a:ext>
          </a:extLst>
        </a:blip>
        <a:stretch>
          <a:fillRect/>
        </a:stretch>
      </xdr:blipFill>
      <xdr:spPr>
        <a:xfrm>
          <a:off x="4848226" y="152399"/>
          <a:ext cx="1437870" cy="942975"/>
        </a:xfrm>
        <a:prstGeom prst="rect">
          <a:avLst/>
        </a:prstGeom>
      </xdr:spPr>
    </xdr:pic>
    <xdr:clientData/>
  </xdr:twoCellAnchor>
  <xdr:twoCellAnchor>
    <xdr:from>
      <xdr:col>1</xdr:col>
      <xdr:colOff>4064</xdr:colOff>
      <xdr:row>36</xdr:row>
      <xdr:rowOff>28573</xdr:rowOff>
    </xdr:from>
    <xdr:to>
      <xdr:col>15</xdr:col>
      <xdr:colOff>13737</xdr:colOff>
      <xdr:row>51</xdr:row>
      <xdr:rowOff>22858</xdr:rowOff>
    </xdr:to>
    <xdr:sp macro="" textlink="">
      <xdr:nvSpPr>
        <xdr:cNvPr id="7" name="Rectangle 6" title="Winter color block behind picture">
          <a:extLst>
            <a:ext uri="{FF2B5EF4-FFF2-40B4-BE49-F238E27FC236}">
              <a16:creationId xmlns:a16="http://schemas.microsoft.com/office/drawing/2014/main" id="{00000000-0008-0000-0000-000007000000}"/>
            </a:ext>
          </a:extLst>
        </xdr:cNvPr>
        <xdr:cNvSpPr/>
      </xdr:nvSpPr>
      <xdr:spPr>
        <a:xfrm>
          <a:off x="327914" y="11782423"/>
          <a:ext cx="7277248" cy="3566160"/>
        </a:xfrm>
        <a:prstGeom prst="rect">
          <a:avLst/>
        </a:prstGeom>
        <a:gradFill>
          <a:gsLst>
            <a:gs pos="0">
              <a:schemeClr val="accent1"/>
            </a:gs>
            <a:gs pos="52000">
              <a:schemeClr val="accent1">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209550</xdr:colOff>
      <xdr:row>36</xdr:row>
      <xdr:rowOff>219074</xdr:rowOff>
    </xdr:from>
    <xdr:to>
      <xdr:col>14</xdr:col>
      <xdr:colOff>153924</xdr:colOff>
      <xdr:row>50</xdr:row>
      <xdr:rowOff>133350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5438775" y="11058524"/>
          <a:ext cx="2001774" cy="3248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baseline="0">
              <a:solidFill>
                <a:schemeClr val="bg1"/>
              </a:solidFill>
              <a:latin typeface="+mn-lt"/>
            </a:rPr>
            <a:t>Your Heart and </a:t>
          </a:r>
        </a:p>
        <a:p>
          <a:r>
            <a:rPr lang="en-US" sz="1600" b="1" baseline="0">
              <a:solidFill>
                <a:schemeClr val="bg1"/>
              </a:solidFill>
              <a:latin typeface="+mn-lt"/>
            </a:rPr>
            <a:t>Your Health</a:t>
          </a:r>
        </a:p>
        <a:p>
          <a:r>
            <a:rPr lang="en-US" sz="1300" baseline="0">
              <a:solidFill>
                <a:schemeClr val="bg1"/>
              </a:solidFill>
              <a:latin typeface="+mn-lt"/>
            </a:rPr>
            <a:t>Did you know that smoking is a major cause of cardiovascular disease? CVD is the </a:t>
          </a:r>
          <a:r>
            <a:rPr lang="en-US" sz="1300" i="0" baseline="0">
              <a:solidFill>
                <a:schemeClr val="bg1"/>
              </a:solidFill>
              <a:latin typeface="+mn-lt"/>
            </a:rPr>
            <a:t>leading cause of death in the United States with 1 in 5 of these deaths attributed to smoking. What are some heart healthy things that you can do this month?</a:t>
          </a:r>
        </a:p>
        <a:p>
          <a:r>
            <a:rPr lang="en-US" sz="1200" i="0" baseline="0">
              <a:solidFill>
                <a:schemeClr val="bg1"/>
              </a:solidFill>
              <a:latin typeface="+mn-lt"/>
            </a:rPr>
            <a:t>____________________________________________________________________________________________________________________________________</a:t>
          </a:r>
          <a:endParaRPr lang="en-US" sz="1200" baseline="0">
            <a:solidFill>
              <a:schemeClr val="bg1"/>
            </a:solidFill>
            <a:latin typeface="+mn-lt"/>
          </a:endParaRPr>
        </a:p>
        <a:p>
          <a:endParaRPr lang="en-US" sz="1200">
            <a:solidFill>
              <a:schemeClr val="bg1"/>
            </a:solidFill>
            <a:latin typeface="+mn-lt"/>
          </a:endParaRPr>
        </a:p>
      </xdr:txBody>
    </xdr:sp>
    <xdr:clientData/>
  </xdr:twoCellAnchor>
  <xdr:twoCellAnchor>
    <xdr:from>
      <xdr:col>11</xdr:col>
      <xdr:colOff>9525</xdr:colOff>
      <xdr:row>69</xdr:row>
      <xdr:rowOff>73554</xdr:rowOff>
    </xdr:from>
    <xdr:to>
      <xdr:col>11</xdr:col>
      <xdr:colOff>781050</xdr:colOff>
      <xdr:row>70</xdr:row>
      <xdr:rowOff>185473</xdr:rowOff>
    </xdr:to>
    <xdr:pic>
      <xdr:nvPicPr>
        <xdr:cNvPr id="10" name="Picture 9" title="Spring image - tree">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duotone>
            <a:prstClr val="black"/>
            <a:schemeClr val="accent2">
              <a:tint val="45000"/>
              <a:satMod val="400000"/>
            </a:schemeClr>
          </a:duotone>
          <a:extLst>
            <a:ext uri="{28A0092B-C50C-407E-A947-70E740481C1C}">
              <a14:useLocalDpi xmlns:a14="http://schemas.microsoft.com/office/drawing/2010/main" val="0"/>
            </a:ext>
          </a:extLst>
        </a:blip>
        <a:stretch>
          <a:fillRect/>
        </a:stretch>
      </xdr:blipFill>
      <xdr:spPr>
        <a:xfrm>
          <a:off x="5524500" y="254529"/>
          <a:ext cx="771525" cy="750094"/>
        </a:xfrm>
        <a:prstGeom prst="rect">
          <a:avLst/>
        </a:prstGeom>
      </xdr:spPr>
    </xdr:pic>
    <xdr:clientData/>
  </xdr:twoCellAnchor>
  <xdr:twoCellAnchor>
    <xdr:from>
      <xdr:col>1</xdr:col>
      <xdr:colOff>0</xdr:colOff>
      <xdr:row>70</xdr:row>
      <xdr:rowOff>28574</xdr:rowOff>
    </xdr:from>
    <xdr:to>
      <xdr:col>15</xdr:col>
      <xdr:colOff>11049</xdr:colOff>
      <xdr:row>85</xdr:row>
      <xdr:rowOff>19050</xdr:rowOff>
    </xdr:to>
    <xdr:sp macro="" textlink="">
      <xdr:nvSpPr>
        <xdr:cNvPr id="11" name="Rectangle 10" title="Spring color block behind picture">
          <a:extLst>
            <a:ext uri="{FF2B5EF4-FFF2-40B4-BE49-F238E27FC236}">
              <a16:creationId xmlns:a16="http://schemas.microsoft.com/office/drawing/2014/main" id="{00000000-0008-0000-0000-00000B000000}"/>
            </a:ext>
          </a:extLst>
        </xdr:cNvPr>
        <xdr:cNvSpPr/>
      </xdr:nvSpPr>
      <xdr:spPr>
        <a:xfrm>
          <a:off x="323850" y="22669499"/>
          <a:ext cx="7278624" cy="3562351"/>
        </a:xfrm>
        <a:prstGeom prst="rect">
          <a:avLst/>
        </a:prstGeom>
        <a:gradFill>
          <a:gsLst>
            <a:gs pos="0">
              <a:schemeClr val="accent2"/>
            </a:gs>
            <a:gs pos="52000">
              <a:schemeClr val="accent2">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723900</xdr:colOff>
      <xdr:row>70</xdr:row>
      <xdr:rowOff>209550</xdr:rowOff>
    </xdr:from>
    <xdr:to>
      <xdr:col>14</xdr:col>
      <xdr:colOff>153925</xdr:colOff>
      <xdr:row>84</xdr:row>
      <xdr:rowOff>39624</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5153025" y="21021675"/>
          <a:ext cx="2287525" cy="316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mj-lt"/>
            </a:rPr>
            <a:t>Autoimmune Diseases Awareness Month </a:t>
          </a:r>
        </a:p>
        <a:p>
          <a:r>
            <a:rPr lang="en-US" sz="1300">
              <a:solidFill>
                <a:schemeClr val="bg1"/>
              </a:solidFill>
              <a:latin typeface="+mj-lt"/>
            </a:rPr>
            <a:t>March is Autoimmune Disease</a:t>
          </a:r>
          <a:r>
            <a:rPr lang="en-US" sz="1300" baseline="0">
              <a:solidFill>
                <a:schemeClr val="bg1"/>
              </a:solidFill>
              <a:latin typeface="+mj-lt"/>
            </a:rPr>
            <a:t>s Awarenes month! Studies have shown that smoking can increase a person's risk of developing autoimmune disorders like Crohn's disease, Lupus, and Rheumatoid Arthritis. Smoking can also reduce the efficacy of treatments for these conditions.</a:t>
          </a:r>
          <a:endParaRPr lang="en-US" sz="1300">
            <a:solidFill>
              <a:schemeClr val="bg1"/>
            </a:solidFill>
            <a:latin typeface="+mj-lt"/>
          </a:endParaRPr>
        </a:p>
      </xdr:txBody>
    </xdr:sp>
    <xdr:clientData/>
  </xdr:twoCellAnchor>
  <xdr:twoCellAnchor>
    <xdr:from>
      <xdr:col>11</xdr:col>
      <xdr:colOff>9525</xdr:colOff>
      <xdr:row>103</xdr:row>
      <xdr:rowOff>73554</xdr:rowOff>
    </xdr:from>
    <xdr:to>
      <xdr:col>11</xdr:col>
      <xdr:colOff>781050</xdr:colOff>
      <xdr:row>104</xdr:row>
      <xdr:rowOff>185473</xdr:rowOff>
    </xdr:to>
    <xdr:pic>
      <xdr:nvPicPr>
        <xdr:cNvPr id="14" name="Picture 13" title="Spring image - tree">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a:duotone>
            <a:prstClr val="black"/>
            <a:schemeClr val="accent2">
              <a:tint val="45000"/>
              <a:satMod val="400000"/>
            </a:schemeClr>
          </a:duotone>
          <a:extLst>
            <a:ext uri="{28A0092B-C50C-407E-A947-70E740481C1C}">
              <a14:useLocalDpi xmlns:a14="http://schemas.microsoft.com/office/drawing/2010/main" val="0"/>
            </a:ext>
          </a:extLst>
        </a:blip>
        <a:stretch>
          <a:fillRect/>
        </a:stretch>
      </xdr:blipFill>
      <xdr:spPr>
        <a:xfrm>
          <a:off x="5524500" y="21933429"/>
          <a:ext cx="771525" cy="750094"/>
        </a:xfrm>
        <a:prstGeom prst="rect">
          <a:avLst/>
        </a:prstGeom>
      </xdr:spPr>
    </xdr:pic>
    <xdr:clientData/>
  </xdr:twoCellAnchor>
  <xdr:twoCellAnchor>
    <xdr:from>
      <xdr:col>1</xdr:col>
      <xdr:colOff>0</xdr:colOff>
      <xdr:row>104</xdr:row>
      <xdr:rowOff>28574</xdr:rowOff>
    </xdr:from>
    <xdr:to>
      <xdr:col>15</xdr:col>
      <xdr:colOff>11049</xdr:colOff>
      <xdr:row>119</xdr:row>
      <xdr:rowOff>19050</xdr:rowOff>
    </xdr:to>
    <xdr:sp macro="" textlink="">
      <xdr:nvSpPr>
        <xdr:cNvPr id="15" name="Rectangle 14" title="Spring color block behind picture">
          <a:extLst>
            <a:ext uri="{FF2B5EF4-FFF2-40B4-BE49-F238E27FC236}">
              <a16:creationId xmlns:a16="http://schemas.microsoft.com/office/drawing/2014/main" id="{00000000-0008-0000-0000-00000F000000}"/>
            </a:ext>
          </a:extLst>
        </xdr:cNvPr>
        <xdr:cNvSpPr/>
      </xdr:nvSpPr>
      <xdr:spPr>
        <a:xfrm>
          <a:off x="323850" y="33556574"/>
          <a:ext cx="7278624" cy="3562351"/>
        </a:xfrm>
        <a:prstGeom prst="rect">
          <a:avLst/>
        </a:prstGeom>
        <a:gradFill>
          <a:gsLst>
            <a:gs pos="0">
              <a:schemeClr val="accent2"/>
            </a:gs>
            <a:gs pos="52000">
              <a:schemeClr val="accent2">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209551</xdr:colOff>
      <xdr:row>104</xdr:row>
      <xdr:rowOff>209550</xdr:rowOff>
    </xdr:from>
    <xdr:to>
      <xdr:col>14</xdr:col>
      <xdr:colOff>153925</xdr:colOff>
      <xdr:row>118</xdr:row>
      <xdr:rowOff>39624</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5486401" y="22707600"/>
          <a:ext cx="2020824" cy="316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mj-lt"/>
            </a:rPr>
            <a:t>April Showers...</a:t>
          </a:r>
          <a:br>
            <a:rPr lang="en-US" sz="1600">
              <a:solidFill>
                <a:schemeClr val="bg1"/>
              </a:solidFill>
              <a:latin typeface="+mj-lt"/>
            </a:rPr>
          </a:br>
          <a:r>
            <a:rPr lang="en-US" sz="1300">
              <a:solidFill>
                <a:schemeClr val="bg1"/>
              </a:solidFill>
              <a:latin typeface="+mn-lt"/>
            </a:rPr>
            <a:t>Relapses can occur at any time during the quitting</a:t>
          </a:r>
          <a:r>
            <a:rPr lang="en-US" sz="1300" baseline="0">
              <a:solidFill>
                <a:schemeClr val="bg1"/>
              </a:solidFill>
              <a:latin typeface="+mn-lt"/>
            </a:rPr>
            <a:t> process. The important thing is to not let this get in the way of your success! Ask yourself, why did you relapse? Stress is a common reason for relapse. By finding ways to manage stress, we can reduce the number of relapses we experience.  </a:t>
          </a:r>
          <a:endParaRPr lang="en-US" sz="1300">
            <a:solidFill>
              <a:schemeClr val="bg1"/>
            </a:solidFill>
            <a:latin typeface="+mn-lt"/>
          </a:endParaRPr>
        </a:p>
        <a:p>
          <a:endParaRPr lang="en-US" sz="1200">
            <a:solidFill>
              <a:schemeClr val="bg1"/>
            </a:solidFill>
            <a:latin typeface="+mn-lt"/>
          </a:endParaRPr>
        </a:p>
      </xdr:txBody>
    </xdr:sp>
    <xdr:clientData/>
  </xdr:twoCellAnchor>
  <xdr:twoCellAnchor>
    <xdr:from>
      <xdr:col>11</xdr:col>
      <xdr:colOff>9525</xdr:colOff>
      <xdr:row>137</xdr:row>
      <xdr:rowOff>73554</xdr:rowOff>
    </xdr:from>
    <xdr:to>
      <xdr:col>11</xdr:col>
      <xdr:colOff>781050</xdr:colOff>
      <xdr:row>138</xdr:row>
      <xdr:rowOff>185473</xdr:rowOff>
    </xdr:to>
    <xdr:pic>
      <xdr:nvPicPr>
        <xdr:cNvPr id="18" name="Picture 17" title="Spring image - tree">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a:duotone>
            <a:prstClr val="black"/>
            <a:schemeClr val="tx2">
              <a:tint val="45000"/>
              <a:satMod val="400000"/>
            </a:schemeClr>
          </a:duotone>
          <a:extLst>
            <a:ext uri="{28A0092B-C50C-407E-A947-70E740481C1C}">
              <a14:useLocalDpi xmlns:a14="http://schemas.microsoft.com/office/drawing/2010/main" val="0"/>
            </a:ext>
          </a:extLst>
        </a:blip>
        <a:stretch>
          <a:fillRect/>
        </a:stretch>
      </xdr:blipFill>
      <xdr:spPr>
        <a:xfrm>
          <a:off x="5524500" y="32772879"/>
          <a:ext cx="771525" cy="750094"/>
        </a:xfrm>
        <a:prstGeom prst="rect">
          <a:avLst/>
        </a:prstGeom>
      </xdr:spPr>
    </xdr:pic>
    <xdr:clientData/>
  </xdr:twoCellAnchor>
  <xdr:twoCellAnchor>
    <xdr:from>
      <xdr:col>1</xdr:col>
      <xdr:colOff>0</xdr:colOff>
      <xdr:row>138</xdr:row>
      <xdr:rowOff>28574</xdr:rowOff>
    </xdr:from>
    <xdr:to>
      <xdr:col>15</xdr:col>
      <xdr:colOff>11049</xdr:colOff>
      <xdr:row>153</xdr:row>
      <xdr:rowOff>19050</xdr:rowOff>
    </xdr:to>
    <xdr:sp macro="" textlink="">
      <xdr:nvSpPr>
        <xdr:cNvPr id="19" name="Rectangle 18" title="Spring color block behind picture">
          <a:extLst>
            <a:ext uri="{FF2B5EF4-FFF2-40B4-BE49-F238E27FC236}">
              <a16:creationId xmlns:a16="http://schemas.microsoft.com/office/drawing/2014/main" id="{00000000-0008-0000-0000-000013000000}"/>
            </a:ext>
          </a:extLst>
        </xdr:cNvPr>
        <xdr:cNvSpPr/>
      </xdr:nvSpPr>
      <xdr:spPr>
        <a:xfrm>
          <a:off x="323850" y="44443649"/>
          <a:ext cx="7278624" cy="3562351"/>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209551</xdr:colOff>
      <xdr:row>138</xdr:row>
      <xdr:rowOff>209550</xdr:rowOff>
    </xdr:from>
    <xdr:to>
      <xdr:col>14</xdr:col>
      <xdr:colOff>153925</xdr:colOff>
      <xdr:row>153</xdr:row>
      <xdr:rowOff>1</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5438776" y="40967025"/>
          <a:ext cx="2001774" cy="3362326"/>
        </a:xfrm>
        <a:prstGeom prst="rect">
          <a:avLst/>
        </a:prstGeom>
        <a:solidFill>
          <a:schemeClr val="bg2">
            <a:lumMod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mj-lt"/>
            </a:rPr>
            <a:t>Bring May Flowers!</a:t>
          </a:r>
        </a:p>
        <a:p>
          <a:r>
            <a:rPr lang="en-US" sz="1250">
              <a:solidFill>
                <a:schemeClr val="bg1"/>
              </a:solidFill>
              <a:latin typeface="+mn-lt"/>
            </a:rPr>
            <a:t>Within one day of</a:t>
          </a:r>
          <a:r>
            <a:rPr lang="en-US" sz="1250" baseline="0">
              <a:solidFill>
                <a:schemeClr val="bg1"/>
              </a:solidFill>
              <a:latin typeface="+mn-lt"/>
            </a:rPr>
            <a:t> not smoking, your blood pressure begins to drop to normal levels. After one month of quitting, lung function and circulation begin to improve.  At the one year mark, a person's risk for coronary heart disease descreases by half. After 20 years, the risk of death from smoking-related illnesses is about the same as a non-smoker's risk. </a:t>
          </a:r>
          <a:endParaRPr lang="en-US" sz="1250">
            <a:solidFill>
              <a:schemeClr val="bg1"/>
            </a:solidFill>
            <a:latin typeface="+mn-lt"/>
          </a:endParaRPr>
        </a:p>
      </xdr:txBody>
    </xdr:sp>
    <xdr:clientData/>
  </xdr:twoCellAnchor>
  <xdr:twoCellAnchor>
    <xdr:from>
      <xdr:col>11</xdr:col>
      <xdr:colOff>123826</xdr:colOff>
      <xdr:row>171</xdr:row>
      <xdr:rowOff>81699</xdr:rowOff>
    </xdr:from>
    <xdr:to>
      <xdr:col>11</xdr:col>
      <xdr:colOff>733425</xdr:colOff>
      <xdr:row>173</xdr:row>
      <xdr:rowOff>161924</xdr:rowOff>
    </xdr:to>
    <xdr:pic>
      <xdr:nvPicPr>
        <xdr:cNvPr id="22" name="Picture 21" title="Summer image - palm tree">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3">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638801" y="262674"/>
          <a:ext cx="609599" cy="956525"/>
        </a:xfrm>
        <a:prstGeom prst="rect">
          <a:avLst/>
        </a:prstGeom>
      </xdr:spPr>
    </xdr:pic>
    <xdr:clientData/>
  </xdr:twoCellAnchor>
  <xdr:twoCellAnchor>
    <xdr:from>
      <xdr:col>1</xdr:col>
      <xdr:colOff>0</xdr:colOff>
      <xdr:row>172</xdr:row>
      <xdr:rowOff>28574</xdr:rowOff>
    </xdr:from>
    <xdr:to>
      <xdr:col>15</xdr:col>
      <xdr:colOff>11049</xdr:colOff>
      <xdr:row>187</xdr:row>
      <xdr:rowOff>19050</xdr:rowOff>
    </xdr:to>
    <xdr:sp macro="" textlink="">
      <xdr:nvSpPr>
        <xdr:cNvPr id="23" name="Rectangle 22" title="Summer color block behind picture">
          <a:extLst>
            <a:ext uri="{FF2B5EF4-FFF2-40B4-BE49-F238E27FC236}">
              <a16:creationId xmlns:a16="http://schemas.microsoft.com/office/drawing/2014/main" id="{00000000-0008-0000-0000-000017000000}"/>
            </a:ext>
          </a:extLst>
        </xdr:cNvPr>
        <xdr:cNvSpPr/>
      </xdr:nvSpPr>
      <xdr:spPr>
        <a:xfrm>
          <a:off x="323850" y="55330724"/>
          <a:ext cx="7278624" cy="3562351"/>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752475</xdr:colOff>
      <xdr:row>172</xdr:row>
      <xdr:rowOff>209550</xdr:rowOff>
    </xdr:from>
    <xdr:to>
      <xdr:col>14</xdr:col>
      <xdr:colOff>172974</xdr:colOff>
      <xdr:row>186</xdr:row>
      <xdr:rowOff>39624</xdr:rowOff>
    </xdr:to>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5181600" y="50939700"/>
          <a:ext cx="2277999" cy="316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mj-lt"/>
            </a:rPr>
            <a:t>Summer</a:t>
          </a:r>
          <a:r>
            <a:rPr lang="en-US" sz="1600" b="1" baseline="0">
              <a:solidFill>
                <a:schemeClr val="bg1"/>
              </a:solidFill>
              <a:latin typeface="+mj-lt"/>
            </a:rPr>
            <a:t> Skin</a:t>
          </a:r>
          <a:endParaRPr lang="en-US" sz="1600" b="1">
            <a:solidFill>
              <a:schemeClr val="bg1"/>
            </a:solidFill>
            <a:latin typeface="+mj-lt"/>
          </a:endParaRPr>
        </a:p>
        <a:p>
          <a:r>
            <a:rPr lang="en-US" sz="1300">
              <a:solidFill>
                <a:schemeClr val="bg1"/>
              </a:solidFill>
              <a:latin typeface="+mn-lt"/>
            </a:rPr>
            <a:t>We know that UV rays are harmful for our skin, but did you know that smoking is too? The nicotine</a:t>
          </a:r>
          <a:r>
            <a:rPr lang="en-US" sz="1300" baseline="0">
              <a:solidFill>
                <a:schemeClr val="bg1"/>
              </a:solidFill>
              <a:latin typeface="+mn-lt"/>
            </a:rPr>
            <a:t> found in cigarettes constricts blood vessels in the outermost layers of the skin. Without proper circulation, your skin doesn't receive the nutrients it needs, which can lead to premature aging. </a:t>
          </a:r>
          <a:endParaRPr lang="en-US" sz="1300">
            <a:solidFill>
              <a:schemeClr val="bg1"/>
            </a:solidFill>
            <a:latin typeface="+mn-lt"/>
          </a:endParaRPr>
        </a:p>
      </xdr:txBody>
    </xdr:sp>
    <xdr:clientData/>
  </xdr:twoCellAnchor>
  <xdr:twoCellAnchor>
    <xdr:from>
      <xdr:col>11</xdr:col>
      <xdr:colOff>123826</xdr:colOff>
      <xdr:row>205</xdr:row>
      <xdr:rowOff>81699</xdr:rowOff>
    </xdr:from>
    <xdr:to>
      <xdr:col>11</xdr:col>
      <xdr:colOff>733425</xdr:colOff>
      <xdr:row>207</xdr:row>
      <xdr:rowOff>161924</xdr:rowOff>
    </xdr:to>
    <xdr:pic>
      <xdr:nvPicPr>
        <xdr:cNvPr id="26" name="Picture 25" title="Summer image - palm tree">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3">
          <a:duotone>
            <a:schemeClr val="accent5">
              <a:shade val="45000"/>
              <a:satMod val="135000"/>
            </a:schemeClr>
            <a:prstClr val="white"/>
          </a:duotone>
          <a:extLst>
            <a:ext uri="{28A0092B-C50C-407E-A947-70E740481C1C}">
              <a14:useLocalDpi xmlns:a14="http://schemas.microsoft.com/office/drawing/2010/main" val="0"/>
            </a:ext>
          </a:extLst>
        </a:blip>
        <a:stretch>
          <a:fillRect/>
        </a:stretch>
      </xdr:blipFill>
      <xdr:spPr>
        <a:xfrm>
          <a:off x="5638801" y="54097974"/>
          <a:ext cx="609599" cy="956525"/>
        </a:xfrm>
        <a:prstGeom prst="rect">
          <a:avLst/>
        </a:prstGeom>
      </xdr:spPr>
    </xdr:pic>
    <xdr:clientData/>
  </xdr:twoCellAnchor>
  <xdr:twoCellAnchor>
    <xdr:from>
      <xdr:col>1</xdr:col>
      <xdr:colOff>0</xdr:colOff>
      <xdr:row>206</xdr:row>
      <xdr:rowOff>28574</xdr:rowOff>
    </xdr:from>
    <xdr:to>
      <xdr:col>15</xdr:col>
      <xdr:colOff>11049</xdr:colOff>
      <xdr:row>221</xdr:row>
      <xdr:rowOff>19050</xdr:rowOff>
    </xdr:to>
    <xdr:sp macro="" textlink="">
      <xdr:nvSpPr>
        <xdr:cNvPr id="27" name="Rectangle 26" title="Summer color block behind picture">
          <a:extLst>
            <a:ext uri="{FF2B5EF4-FFF2-40B4-BE49-F238E27FC236}">
              <a16:creationId xmlns:a16="http://schemas.microsoft.com/office/drawing/2014/main" id="{00000000-0008-0000-0000-00001B000000}"/>
            </a:ext>
          </a:extLst>
        </xdr:cNvPr>
        <xdr:cNvSpPr/>
      </xdr:nvSpPr>
      <xdr:spPr>
        <a:xfrm>
          <a:off x="323850" y="66217799"/>
          <a:ext cx="7278624" cy="3562351"/>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28575</xdr:colOff>
      <xdr:row>206</xdr:row>
      <xdr:rowOff>209550</xdr:rowOff>
    </xdr:from>
    <xdr:to>
      <xdr:col>14</xdr:col>
      <xdr:colOff>172974</xdr:colOff>
      <xdr:row>220</xdr:row>
      <xdr:rowOff>39624</xdr:rowOff>
    </xdr:to>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5257800" y="60912375"/>
          <a:ext cx="2201799" cy="3163824"/>
        </a:xfrm>
        <a:prstGeom prst="rect">
          <a:avLst/>
        </a:prstGeom>
        <a:solidFill>
          <a:schemeClr val="accent5">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mj-lt"/>
            </a:rPr>
            <a:t>Independence</a:t>
          </a:r>
        </a:p>
        <a:p>
          <a:r>
            <a:rPr lang="en-US" sz="1300">
              <a:solidFill>
                <a:schemeClr val="bg1"/>
              </a:solidFill>
              <a:latin typeface="+mn-lt"/>
            </a:rPr>
            <a:t>As we</a:t>
          </a:r>
          <a:r>
            <a:rPr lang="en-US" sz="1300" baseline="0">
              <a:solidFill>
                <a:schemeClr val="bg1"/>
              </a:solidFill>
              <a:latin typeface="+mn-lt"/>
            </a:rPr>
            <a:t> celebrate Independence Day, celebrate your independence from addiction! Even if you have suffered setbacks, it is important to understand that </a:t>
          </a:r>
          <a:r>
            <a:rPr lang="en-US" sz="1300" i="1" baseline="0">
              <a:solidFill>
                <a:schemeClr val="bg1"/>
              </a:solidFill>
              <a:latin typeface="+mn-lt"/>
            </a:rPr>
            <a:t>you</a:t>
          </a:r>
          <a:r>
            <a:rPr lang="en-US" sz="1300" i="0" baseline="0">
              <a:solidFill>
                <a:schemeClr val="bg1"/>
              </a:solidFill>
              <a:latin typeface="+mn-lt"/>
            </a:rPr>
            <a:t> are the one making these changes! Keep going strong!</a:t>
          </a:r>
          <a:endParaRPr lang="en-US" sz="1300">
            <a:solidFill>
              <a:schemeClr val="bg1"/>
            </a:solidFill>
            <a:latin typeface="+mn-lt"/>
          </a:endParaRPr>
        </a:p>
      </xdr:txBody>
    </xdr:sp>
    <xdr:clientData/>
  </xdr:twoCellAnchor>
  <xdr:twoCellAnchor>
    <xdr:from>
      <xdr:col>11</xdr:col>
      <xdr:colOff>123826</xdr:colOff>
      <xdr:row>239</xdr:row>
      <xdr:rowOff>81699</xdr:rowOff>
    </xdr:from>
    <xdr:to>
      <xdr:col>11</xdr:col>
      <xdr:colOff>733425</xdr:colOff>
      <xdr:row>241</xdr:row>
      <xdr:rowOff>161924</xdr:rowOff>
    </xdr:to>
    <xdr:pic>
      <xdr:nvPicPr>
        <xdr:cNvPr id="30" name="Picture 29" title="Summer image - palm tree">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3">
          <a:duotone>
            <a:schemeClr val="accent5">
              <a:shade val="45000"/>
              <a:satMod val="135000"/>
            </a:schemeClr>
            <a:prstClr val="white"/>
          </a:duotone>
          <a:extLst>
            <a:ext uri="{28A0092B-C50C-407E-A947-70E740481C1C}">
              <a14:useLocalDpi xmlns:a14="http://schemas.microsoft.com/office/drawing/2010/main" val="0"/>
            </a:ext>
          </a:extLst>
        </a:blip>
        <a:stretch>
          <a:fillRect/>
        </a:stretch>
      </xdr:blipFill>
      <xdr:spPr>
        <a:xfrm>
          <a:off x="5638801" y="54097974"/>
          <a:ext cx="609599" cy="956525"/>
        </a:xfrm>
        <a:prstGeom prst="rect">
          <a:avLst/>
        </a:prstGeom>
      </xdr:spPr>
    </xdr:pic>
    <xdr:clientData/>
  </xdr:twoCellAnchor>
  <xdr:twoCellAnchor>
    <xdr:from>
      <xdr:col>1</xdr:col>
      <xdr:colOff>0</xdr:colOff>
      <xdr:row>240</xdr:row>
      <xdr:rowOff>28574</xdr:rowOff>
    </xdr:from>
    <xdr:to>
      <xdr:col>15</xdr:col>
      <xdr:colOff>11049</xdr:colOff>
      <xdr:row>255</xdr:row>
      <xdr:rowOff>19050</xdr:rowOff>
    </xdr:to>
    <xdr:sp macro="" textlink="">
      <xdr:nvSpPr>
        <xdr:cNvPr id="31" name="Rectangle 30" title="Summer color block behind picture">
          <a:extLst>
            <a:ext uri="{FF2B5EF4-FFF2-40B4-BE49-F238E27FC236}">
              <a16:creationId xmlns:a16="http://schemas.microsoft.com/office/drawing/2014/main" id="{00000000-0008-0000-0000-00001F000000}"/>
            </a:ext>
          </a:extLst>
        </xdr:cNvPr>
        <xdr:cNvSpPr/>
      </xdr:nvSpPr>
      <xdr:spPr>
        <a:xfrm>
          <a:off x="323850" y="77104874"/>
          <a:ext cx="7278624" cy="3562351"/>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228600</xdr:colOff>
      <xdr:row>240</xdr:row>
      <xdr:rowOff>209550</xdr:rowOff>
    </xdr:from>
    <xdr:to>
      <xdr:col>14</xdr:col>
      <xdr:colOff>172974</xdr:colOff>
      <xdr:row>254</xdr:row>
      <xdr:rowOff>39624</xdr:rowOff>
    </xdr:to>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5505450" y="54864000"/>
          <a:ext cx="2020824" cy="3163824"/>
        </a:xfrm>
        <a:prstGeom prst="rect">
          <a:avLst/>
        </a:prstGeom>
        <a:solidFill>
          <a:schemeClr val="accent5">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mn-lt"/>
            </a:rPr>
            <a:t>Cooling Costs</a:t>
          </a:r>
        </a:p>
        <a:p>
          <a:r>
            <a:rPr lang="en-US" sz="1300">
              <a:solidFill>
                <a:schemeClr val="bg1"/>
              </a:solidFill>
              <a:latin typeface="+mn-lt"/>
            </a:rPr>
            <a:t>With temperatures rising, so do our electric</a:t>
          </a:r>
          <a:r>
            <a:rPr lang="en-US" sz="1300" baseline="0">
              <a:solidFill>
                <a:schemeClr val="bg1"/>
              </a:solidFill>
              <a:latin typeface="+mn-lt"/>
            </a:rPr>
            <a:t> bills! The cost of smoking is high, too. In addition to diminished health, smoking causes increased absenteeism from work and increased healthcare costs. So keep those Air Conditioners on because you have saved money from quitting!</a:t>
          </a:r>
          <a:endParaRPr lang="en-US" sz="1300">
            <a:solidFill>
              <a:schemeClr val="bg1"/>
            </a:solidFill>
            <a:latin typeface="+mn-lt"/>
          </a:endParaRPr>
        </a:p>
      </xdr:txBody>
    </xdr:sp>
    <xdr:clientData/>
  </xdr:twoCellAnchor>
  <xdr:twoCellAnchor>
    <xdr:from>
      <xdr:col>9</xdr:col>
      <xdr:colOff>447675</xdr:colOff>
      <xdr:row>272</xdr:row>
      <xdr:rowOff>160699</xdr:rowOff>
    </xdr:from>
    <xdr:to>
      <xdr:col>11</xdr:col>
      <xdr:colOff>771525</xdr:colOff>
      <xdr:row>274</xdr:row>
      <xdr:rowOff>167807</xdr:rowOff>
    </xdr:to>
    <xdr:pic>
      <xdr:nvPicPr>
        <xdr:cNvPr id="34" name="Picture 33" title="Fall image - leaves">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4">
          <a:duotone>
            <a:schemeClr val="accent4">
              <a:shade val="45000"/>
              <a:satMod val="135000"/>
            </a:schemeClr>
            <a:prstClr val="white"/>
          </a:duotone>
          <a:extLst>
            <a:ext uri="{28A0092B-C50C-407E-A947-70E740481C1C}">
              <a14:useLocalDpi xmlns:a14="http://schemas.microsoft.com/office/drawing/2010/main" val="0"/>
            </a:ext>
          </a:extLst>
        </a:blip>
        <a:stretch>
          <a:fillRect/>
        </a:stretch>
      </xdr:blipFill>
      <xdr:spPr>
        <a:xfrm>
          <a:off x="4924425" y="160699"/>
          <a:ext cx="1362075" cy="826258"/>
        </a:xfrm>
        <a:prstGeom prst="rect">
          <a:avLst/>
        </a:prstGeom>
      </xdr:spPr>
    </xdr:pic>
    <xdr:clientData/>
  </xdr:twoCellAnchor>
  <xdr:twoCellAnchor>
    <xdr:from>
      <xdr:col>1</xdr:col>
      <xdr:colOff>0</xdr:colOff>
      <xdr:row>274</xdr:row>
      <xdr:rowOff>28574</xdr:rowOff>
    </xdr:from>
    <xdr:to>
      <xdr:col>15</xdr:col>
      <xdr:colOff>11049</xdr:colOff>
      <xdr:row>289</xdr:row>
      <xdr:rowOff>19050</xdr:rowOff>
    </xdr:to>
    <xdr:sp macro="" textlink="">
      <xdr:nvSpPr>
        <xdr:cNvPr id="35" name="Rectangle 34" title="Fall color block behind picture">
          <a:extLst>
            <a:ext uri="{FF2B5EF4-FFF2-40B4-BE49-F238E27FC236}">
              <a16:creationId xmlns:a16="http://schemas.microsoft.com/office/drawing/2014/main" id="{00000000-0008-0000-0000-000023000000}"/>
            </a:ext>
          </a:extLst>
        </xdr:cNvPr>
        <xdr:cNvSpPr/>
      </xdr:nvSpPr>
      <xdr:spPr>
        <a:xfrm>
          <a:off x="323850" y="87991949"/>
          <a:ext cx="7278624" cy="3562351"/>
        </a:xfrm>
        <a:prstGeom prst="rect">
          <a:avLst/>
        </a:prstGeom>
        <a:gradFill>
          <a:gsLst>
            <a:gs pos="0">
              <a:schemeClr val="accent4"/>
            </a:gs>
            <a:gs pos="52000">
              <a:schemeClr val="accent4">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9525</xdr:colOff>
      <xdr:row>274</xdr:row>
      <xdr:rowOff>200026</xdr:rowOff>
    </xdr:from>
    <xdr:to>
      <xdr:col>14</xdr:col>
      <xdr:colOff>190499</xdr:colOff>
      <xdr:row>288</xdr:row>
      <xdr:rowOff>28576</xdr:rowOff>
    </xdr:to>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5524500" y="1019176"/>
          <a:ext cx="2019299" cy="3162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mj-lt"/>
            </a:rPr>
            <a:t>Back to School</a:t>
          </a:r>
        </a:p>
        <a:p>
          <a:r>
            <a:rPr lang="en-US" sz="1300">
              <a:solidFill>
                <a:schemeClr val="bg1"/>
              </a:solidFill>
              <a:latin typeface="+mn-lt"/>
            </a:rPr>
            <a:t>In 2017, about 3.6 million</a:t>
          </a:r>
          <a:r>
            <a:rPr lang="en-US" sz="1300" baseline="0">
              <a:solidFill>
                <a:schemeClr val="bg1"/>
              </a:solidFill>
              <a:latin typeface="+mn-lt"/>
            </a:rPr>
            <a:t> middle and high school students reported using tobacco products.  Additionally, studies show that teenagers who use e-cigarettes are more likely to transition to cigarettes than their peers who do not use e-cigarettes. </a:t>
          </a:r>
          <a:endParaRPr lang="en-US" sz="1300">
            <a:solidFill>
              <a:schemeClr val="bg1"/>
            </a:solidFill>
            <a:latin typeface="+mn-lt"/>
          </a:endParaRPr>
        </a:p>
      </xdr:txBody>
    </xdr:sp>
    <xdr:clientData/>
  </xdr:twoCellAnchor>
  <xdr:twoCellAnchor>
    <xdr:from>
      <xdr:col>9</xdr:col>
      <xdr:colOff>447675</xdr:colOff>
      <xdr:row>308</xdr:row>
      <xdr:rowOff>160699</xdr:rowOff>
    </xdr:from>
    <xdr:to>
      <xdr:col>11</xdr:col>
      <xdr:colOff>771525</xdr:colOff>
      <xdr:row>310</xdr:row>
      <xdr:rowOff>167807</xdr:rowOff>
    </xdr:to>
    <xdr:pic>
      <xdr:nvPicPr>
        <xdr:cNvPr id="38" name="Picture 37" title="Fall image - leaves">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4">
          <a:duotone>
            <a:schemeClr val="accent4">
              <a:shade val="45000"/>
              <a:satMod val="135000"/>
            </a:schemeClr>
            <a:prstClr val="white"/>
          </a:duotone>
          <a:extLst>
            <a:ext uri="{28A0092B-C50C-407E-A947-70E740481C1C}">
              <a14:useLocalDpi xmlns:a14="http://schemas.microsoft.com/office/drawing/2010/main" val="0"/>
            </a:ext>
          </a:extLst>
        </a:blip>
        <a:stretch>
          <a:fillRect/>
        </a:stretch>
      </xdr:blipFill>
      <xdr:spPr>
        <a:xfrm>
          <a:off x="4924425" y="160699"/>
          <a:ext cx="1362075" cy="826258"/>
        </a:xfrm>
        <a:prstGeom prst="rect">
          <a:avLst/>
        </a:prstGeom>
      </xdr:spPr>
    </xdr:pic>
    <xdr:clientData/>
  </xdr:twoCellAnchor>
  <xdr:twoCellAnchor>
    <xdr:from>
      <xdr:col>1</xdr:col>
      <xdr:colOff>0</xdr:colOff>
      <xdr:row>310</xdr:row>
      <xdr:rowOff>28574</xdr:rowOff>
    </xdr:from>
    <xdr:to>
      <xdr:col>15</xdr:col>
      <xdr:colOff>11049</xdr:colOff>
      <xdr:row>325</xdr:row>
      <xdr:rowOff>19050</xdr:rowOff>
    </xdr:to>
    <xdr:sp macro="" textlink="">
      <xdr:nvSpPr>
        <xdr:cNvPr id="39" name="Rectangle 38" title="Fall color block behind picture">
          <a:extLst>
            <a:ext uri="{FF2B5EF4-FFF2-40B4-BE49-F238E27FC236}">
              <a16:creationId xmlns:a16="http://schemas.microsoft.com/office/drawing/2014/main" id="{00000000-0008-0000-0000-000027000000}"/>
            </a:ext>
          </a:extLst>
        </xdr:cNvPr>
        <xdr:cNvSpPr/>
      </xdr:nvSpPr>
      <xdr:spPr>
        <a:xfrm>
          <a:off x="323850" y="98879024"/>
          <a:ext cx="7278624" cy="3562351"/>
        </a:xfrm>
        <a:prstGeom prst="rect">
          <a:avLst/>
        </a:prstGeom>
        <a:gradFill>
          <a:gsLst>
            <a:gs pos="0">
              <a:schemeClr val="accent4"/>
            </a:gs>
            <a:gs pos="52000">
              <a:schemeClr val="accent4">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733425</xdr:colOff>
      <xdr:row>310</xdr:row>
      <xdr:rowOff>200026</xdr:rowOff>
    </xdr:from>
    <xdr:to>
      <xdr:col>14</xdr:col>
      <xdr:colOff>190499</xdr:colOff>
      <xdr:row>324</xdr:row>
      <xdr:rowOff>28576</xdr:rowOff>
    </xdr:to>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5162550" y="91735276"/>
          <a:ext cx="2314574" cy="3162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mj-lt"/>
            </a:rPr>
            <a:t>Mental Health</a:t>
          </a:r>
        </a:p>
        <a:p>
          <a:r>
            <a:rPr lang="en-US" sz="1300">
              <a:solidFill>
                <a:schemeClr val="bg1"/>
              </a:solidFill>
              <a:latin typeface="+mn-lt"/>
            </a:rPr>
            <a:t>October 10th is World Mental Health Day. What</a:t>
          </a:r>
          <a:r>
            <a:rPr lang="en-US" sz="1300" baseline="0">
              <a:solidFill>
                <a:schemeClr val="bg1"/>
              </a:solidFill>
              <a:latin typeface="+mn-lt"/>
            </a:rPr>
            <a:t> are some ways for you to reduce the stress in your life without using tobacco products?</a:t>
          </a:r>
        </a:p>
        <a:p>
          <a:r>
            <a:rPr lang="en-US" sz="1200" baseline="0">
              <a:solidFill>
                <a:schemeClr val="bg1"/>
              </a:solidFill>
              <a:latin typeface="+mn-lt"/>
            </a:rPr>
            <a:t>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a:t>
          </a:r>
          <a:endParaRPr lang="en-US" sz="1200">
            <a:solidFill>
              <a:schemeClr val="bg1"/>
            </a:solidFill>
            <a:latin typeface="+mn-lt"/>
          </a:endParaRPr>
        </a:p>
      </xdr:txBody>
    </xdr:sp>
    <xdr:clientData/>
  </xdr:twoCellAnchor>
  <xdr:twoCellAnchor>
    <xdr:from>
      <xdr:col>9</xdr:col>
      <xdr:colOff>447675</xdr:colOff>
      <xdr:row>342</xdr:row>
      <xdr:rowOff>160699</xdr:rowOff>
    </xdr:from>
    <xdr:to>
      <xdr:col>11</xdr:col>
      <xdr:colOff>771525</xdr:colOff>
      <xdr:row>344</xdr:row>
      <xdr:rowOff>167807</xdr:rowOff>
    </xdr:to>
    <xdr:pic>
      <xdr:nvPicPr>
        <xdr:cNvPr id="42" name="Picture 41" title="Fall image - leaves">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4">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924425" y="160699"/>
          <a:ext cx="1362075" cy="826258"/>
        </a:xfrm>
        <a:prstGeom prst="rect">
          <a:avLst/>
        </a:prstGeom>
      </xdr:spPr>
    </xdr:pic>
    <xdr:clientData/>
  </xdr:twoCellAnchor>
  <xdr:twoCellAnchor>
    <xdr:from>
      <xdr:col>1</xdr:col>
      <xdr:colOff>0</xdr:colOff>
      <xdr:row>344</xdr:row>
      <xdr:rowOff>28574</xdr:rowOff>
    </xdr:from>
    <xdr:to>
      <xdr:col>15</xdr:col>
      <xdr:colOff>11049</xdr:colOff>
      <xdr:row>359</xdr:row>
      <xdr:rowOff>19050</xdr:rowOff>
    </xdr:to>
    <xdr:sp macro="" textlink="">
      <xdr:nvSpPr>
        <xdr:cNvPr id="43" name="Rectangle 42" title="Fall color block behind picture">
          <a:extLst>
            <a:ext uri="{FF2B5EF4-FFF2-40B4-BE49-F238E27FC236}">
              <a16:creationId xmlns:a16="http://schemas.microsoft.com/office/drawing/2014/main" id="{00000000-0008-0000-0000-00002B000000}"/>
            </a:ext>
          </a:extLst>
        </xdr:cNvPr>
        <xdr:cNvSpPr/>
      </xdr:nvSpPr>
      <xdr:spPr>
        <a:xfrm>
          <a:off x="323850" y="109766099"/>
          <a:ext cx="7278624" cy="3562351"/>
        </a:xfrm>
        <a:prstGeom prst="rect">
          <a:avLst/>
        </a:prstGeom>
        <a:solidFill>
          <a:srgbClr val="56B0A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9525</xdr:colOff>
      <xdr:row>344</xdr:row>
      <xdr:rowOff>200026</xdr:rowOff>
    </xdr:from>
    <xdr:to>
      <xdr:col>14</xdr:col>
      <xdr:colOff>190499</xdr:colOff>
      <xdr:row>358</xdr:row>
      <xdr:rowOff>152400</xdr:rowOff>
    </xdr:to>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5467350" y="101707951"/>
          <a:ext cx="2009774" cy="3286124"/>
        </a:xfrm>
        <a:prstGeom prst="rect">
          <a:avLst/>
        </a:prstGeom>
        <a:solidFill>
          <a:srgbClr val="56B0A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chemeClr val="bg1"/>
              </a:solidFill>
              <a:latin typeface="+mn-lt"/>
              <a:ea typeface="+mn-ea"/>
              <a:cs typeface="+mn-cs"/>
            </a:rPr>
            <a:t>Facing</a:t>
          </a:r>
          <a:r>
            <a:rPr lang="en-US" sz="2000" b="1" baseline="0">
              <a:solidFill>
                <a:schemeClr val="bg1"/>
              </a:solidFill>
              <a:latin typeface="+mn-lt"/>
              <a:ea typeface="+mn-ea"/>
              <a:cs typeface="+mn-cs"/>
            </a:rPr>
            <a:t> Triggers</a:t>
          </a:r>
          <a:endParaRPr lang="en-US" sz="2000" b="1">
            <a:solidFill>
              <a:schemeClr val="bg1"/>
            </a:solidFill>
            <a:latin typeface="+mn-lt"/>
            <a:ea typeface="+mn-ea"/>
            <a:cs typeface="+mn-cs"/>
          </a:endParaRPr>
        </a:p>
        <a:p>
          <a:r>
            <a:rPr lang="en-US" sz="1300">
              <a:solidFill>
                <a:schemeClr val="bg1"/>
              </a:solidFill>
              <a:latin typeface="+mn-lt"/>
            </a:rPr>
            <a:t>Triggers are a part of quitting. In</a:t>
          </a:r>
          <a:r>
            <a:rPr lang="en-US" sz="1300" baseline="0">
              <a:solidFill>
                <a:schemeClr val="bg1"/>
              </a:solidFill>
              <a:latin typeface="+mn-lt"/>
            </a:rPr>
            <a:t> January, you identified some triggers. Here are some ways to deal with triggers.</a:t>
          </a:r>
        </a:p>
        <a:p>
          <a:r>
            <a:rPr lang="en-US" sz="1300" baseline="0">
              <a:solidFill>
                <a:schemeClr val="bg1"/>
              </a:solidFill>
              <a:latin typeface="+mn-lt"/>
            </a:rPr>
            <a:t>- Go to places that are smoke free.</a:t>
          </a:r>
        </a:p>
        <a:p>
          <a:r>
            <a:rPr lang="en-US" sz="1300" baseline="0">
              <a:solidFill>
                <a:schemeClr val="bg1"/>
              </a:solidFill>
              <a:latin typeface="+mn-lt"/>
            </a:rPr>
            <a:t>- Keep your hands busy</a:t>
          </a:r>
        </a:p>
        <a:p>
          <a:r>
            <a:rPr lang="en-US" sz="1300" baseline="0">
              <a:solidFill>
                <a:schemeClr val="bg1"/>
              </a:solidFill>
              <a:latin typeface="+mn-lt"/>
            </a:rPr>
            <a:t>- Change up your routines</a:t>
          </a:r>
        </a:p>
        <a:p>
          <a:r>
            <a:rPr lang="en-US" sz="1300" baseline="0">
              <a:solidFill>
                <a:schemeClr val="bg1"/>
              </a:solidFill>
              <a:latin typeface="+mn-lt"/>
            </a:rPr>
            <a:t>- Practice Mindfullness</a:t>
          </a:r>
        </a:p>
        <a:p>
          <a:r>
            <a:rPr lang="en-US" sz="1300" baseline="0">
              <a:solidFill>
                <a:schemeClr val="bg1"/>
              </a:solidFill>
              <a:latin typeface="+mn-lt"/>
            </a:rPr>
            <a:t>Now add your own!</a:t>
          </a:r>
        </a:p>
        <a:p>
          <a:r>
            <a:rPr lang="en-US" sz="1200" baseline="0">
              <a:solidFill>
                <a:schemeClr val="bg1"/>
              </a:solidFill>
              <a:latin typeface="+mn-lt"/>
            </a:rPr>
            <a:t>_____________________________________________________________________________________________________________________________________________________________________</a:t>
          </a:r>
        </a:p>
        <a:p>
          <a:endParaRPr lang="en-US" sz="1600">
            <a:solidFill>
              <a:schemeClr val="bg1"/>
            </a:solidFill>
            <a:latin typeface="+mn-lt"/>
          </a:endParaRPr>
        </a:p>
      </xdr:txBody>
    </xdr:sp>
    <xdr:clientData/>
  </xdr:twoCellAnchor>
  <xdr:twoCellAnchor>
    <xdr:from>
      <xdr:col>9</xdr:col>
      <xdr:colOff>371476</xdr:colOff>
      <xdr:row>376</xdr:row>
      <xdr:rowOff>152399</xdr:rowOff>
    </xdr:from>
    <xdr:to>
      <xdr:col>11</xdr:col>
      <xdr:colOff>771121</xdr:colOff>
      <xdr:row>379</xdr:row>
      <xdr:rowOff>38099</xdr:rowOff>
    </xdr:to>
    <xdr:pic>
      <xdr:nvPicPr>
        <xdr:cNvPr id="58" name="Picture 57" title="Winter image - tree and snowflakes">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
          <a:duotone>
            <a:prstClr val="black"/>
            <a:schemeClr val="accent1">
              <a:tint val="45000"/>
              <a:satMod val="400000"/>
            </a:schemeClr>
          </a:duotone>
          <a:extLst>
            <a:ext uri="{28A0092B-C50C-407E-A947-70E740481C1C}">
              <a14:useLocalDpi xmlns:a14="http://schemas.microsoft.com/office/drawing/2010/main" val="0"/>
            </a:ext>
          </a:extLst>
        </a:blip>
        <a:stretch>
          <a:fillRect/>
        </a:stretch>
      </xdr:blipFill>
      <xdr:spPr>
        <a:xfrm>
          <a:off x="4848226" y="152399"/>
          <a:ext cx="1437870" cy="942975"/>
        </a:xfrm>
        <a:prstGeom prst="rect">
          <a:avLst/>
        </a:prstGeom>
      </xdr:spPr>
    </xdr:pic>
    <xdr:clientData/>
  </xdr:twoCellAnchor>
  <xdr:twoCellAnchor>
    <xdr:from>
      <xdr:col>1</xdr:col>
      <xdr:colOff>4064</xdr:colOff>
      <xdr:row>378</xdr:row>
      <xdr:rowOff>28573</xdr:rowOff>
    </xdr:from>
    <xdr:to>
      <xdr:col>15</xdr:col>
      <xdr:colOff>13737</xdr:colOff>
      <xdr:row>393</xdr:row>
      <xdr:rowOff>62992</xdr:rowOff>
    </xdr:to>
    <xdr:sp macro="" textlink="">
      <xdr:nvSpPr>
        <xdr:cNvPr id="59" name="Rectangle 58" title="Winter color block behind picture">
          <a:extLst>
            <a:ext uri="{FF2B5EF4-FFF2-40B4-BE49-F238E27FC236}">
              <a16:creationId xmlns:a16="http://schemas.microsoft.com/office/drawing/2014/main" id="{00000000-0008-0000-0000-00003B000000}"/>
            </a:ext>
          </a:extLst>
        </xdr:cNvPr>
        <xdr:cNvSpPr/>
      </xdr:nvSpPr>
      <xdr:spPr>
        <a:xfrm>
          <a:off x="327914" y="120653173"/>
          <a:ext cx="7277248" cy="3606294"/>
        </a:xfrm>
        <a:prstGeom prst="rect">
          <a:avLst/>
        </a:prstGeom>
        <a:solidFill>
          <a:srgbClr val="56B0A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257175</xdr:colOff>
      <xdr:row>378</xdr:row>
      <xdr:rowOff>219074</xdr:rowOff>
    </xdr:from>
    <xdr:to>
      <xdr:col>14</xdr:col>
      <xdr:colOff>153924</xdr:colOff>
      <xdr:row>392</xdr:row>
      <xdr:rowOff>49148</xdr:rowOff>
    </xdr:to>
    <xdr:sp macro="" textlink="">
      <xdr:nvSpPr>
        <xdr:cNvPr id="61" name="TextBox 60">
          <a:extLst>
            <a:ext uri="{FF2B5EF4-FFF2-40B4-BE49-F238E27FC236}">
              <a16:creationId xmlns:a16="http://schemas.microsoft.com/office/drawing/2014/main" id="{00000000-0008-0000-0000-00003D000000}"/>
            </a:ext>
          </a:extLst>
        </xdr:cNvPr>
        <xdr:cNvSpPr txBox="1"/>
      </xdr:nvSpPr>
      <xdr:spPr>
        <a:xfrm>
          <a:off x="4686300" y="112614074"/>
          <a:ext cx="2754249" cy="3163824"/>
        </a:xfrm>
        <a:prstGeom prst="rect">
          <a:avLst/>
        </a:prstGeom>
        <a:solidFill>
          <a:srgbClr val="56B0A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mj-lt"/>
            </a:rPr>
            <a:t>Gift-Giving!</a:t>
          </a:r>
        </a:p>
        <a:p>
          <a:r>
            <a:rPr lang="en-US" sz="1300">
              <a:solidFill>
                <a:schemeClr val="bg1"/>
              </a:solidFill>
              <a:latin typeface="+mj-lt"/>
            </a:rPr>
            <a:t>During</a:t>
          </a:r>
          <a:r>
            <a:rPr lang="en-US" sz="1300" baseline="0">
              <a:solidFill>
                <a:schemeClr val="bg1"/>
              </a:solidFill>
              <a:latin typeface="+mj-lt"/>
            </a:rPr>
            <a:t> this holiday season, treat yourself! While giving gifts to others can be fun and rewarding, it is important to take time to appreciate yourself and all of your hard work! Write a list of gifts or activities that are meant for you.</a:t>
          </a:r>
        </a:p>
        <a:p>
          <a:r>
            <a:rPr lang="en-US" sz="1300" baseline="0">
              <a:solidFill>
                <a:schemeClr val="bg1"/>
              </a:solidFill>
              <a:latin typeface="+mj-lt"/>
            </a:rPr>
            <a:t>______________________________________________________________________________________________________________________________________________________________________________________________________</a:t>
          </a:r>
          <a:endParaRPr lang="en-US" sz="1300">
            <a:solidFill>
              <a:schemeClr val="bg1"/>
            </a:solidFill>
            <a:latin typeface="+mj-lt"/>
          </a:endParaRPr>
        </a:p>
        <a:p>
          <a:endParaRPr lang="en-US" sz="1200">
            <a:solidFill>
              <a:schemeClr val="bg1"/>
            </a:solidFill>
            <a:latin typeface="+mn-lt"/>
          </a:endParaRPr>
        </a:p>
      </xdr:txBody>
    </xdr:sp>
    <xdr:clientData/>
  </xdr:twoCellAnchor>
  <mc:AlternateContent xmlns:mc="http://schemas.openxmlformats.org/markup-compatibility/2006">
    <mc:Choice xmlns:a14="http://schemas.microsoft.com/office/drawing/2010/main" Requires="a14">
      <xdr:twoCellAnchor editAs="oneCell">
        <xdr:from>
          <xdr:col>15</xdr:col>
          <xdr:colOff>47625</xdr:colOff>
          <xdr:row>1</xdr:row>
          <xdr:rowOff>142875</xdr:rowOff>
        </xdr:from>
        <xdr:to>
          <xdr:col>16</xdr:col>
          <xdr:colOff>104775</xdr:colOff>
          <xdr:row>1</xdr:row>
          <xdr:rowOff>523875</xdr:rowOff>
        </xdr:to>
        <xdr:sp macro="" textlink="">
          <xdr:nvSpPr>
            <xdr:cNvPr id="1025" name="Spinner 1" descr="Spinner control. Use spinner to change calendar year or type desired year in cell L2 "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twoCellAnchor>
    <xdr:from>
      <xdr:col>16</xdr:col>
      <xdr:colOff>114300</xdr:colOff>
      <xdr:row>1</xdr:row>
      <xdr:rowOff>142875</xdr:rowOff>
    </xdr:from>
    <xdr:to>
      <xdr:col>20</xdr:col>
      <xdr:colOff>38100</xdr:colOff>
      <xdr:row>1</xdr:row>
      <xdr:rowOff>571499</xdr:rowOff>
    </xdr:to>
    <xdr:sp macro="" textlink="">
      <xdr:nvSpPr>
        <xdr:cNvPr id="63" name="TextBox 62">
          <a:extLst>
            <a:ext uri="{FF2B5EF4-FFF2-40B4-BE49-F238E27FC236}">
              <a16:creationId xmlns:a16="http://schemas.microsoft.com/office/drawing/2014/main" id="{00000000-0008-0000-0000-00003F000000}"/>
            </a:ext>
          </a:extLst>
        </xdr:cNvPr>
        <xdr:cNvSpPr txBox="1"/>
      </xdr:nvSpPr>
      <xdr:spPr>
        <a:xfrm>
          <a:off x="7810500" y="323850"/>
          <a:ext cx="1905000" cy="428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chemeClr val="accent1"/>
              </a:solidFill>
            </a:rPr>
            <a:t>Click the spinner to </a:t>
          </a:r>
        </a:p>
        <a:p>
          <a:pPr algn="l"/>
          <a:r>
            <a:rPr lang="en-US" sz="1000" b="1">
              <a:solidFill>
                <a:schemeClr val="accent1"/>
              </a:solidFill>
            </a:rPr>
            <a:t>change the calendar year</a:t>
          </a:r>
        </a:p>
      </xdr:txBody>
    </xdr:sp>
    <xdr:clientData fPrintsWithSheet="0"/>
  </xdr:twoCellAnchor>
  <xdr:twoCellAnchor>
    <xdr:from>
      <xdr:col>16</xdr:col>
      <xdr:colOff>228600</xdr:colOff>
      <xdr:row>2</xdr:row>
      <xdr:rowOff>19050</xdr:rowOff>
    </xdr:from>
    <xdr:to>
      <xdr:col>20</xdr:col>
      <xdr:colOff>361951</xdr:colOff>
      <xdr:row>6</xdr:row>
      <xdr:rowOff>180975</xdr:rowOff>
    </xdr:to>
    <xdr:sp macro="" textlink="">
      <xdr:nvSpPr>
        <xdr:cNvPr id="52" name="Folded Corner 51" descr="Personalize this calendar!&#10;&#10;Right-click any picture and then click Change Picture to swap it with your own." title="Photo placeholder instructions">
          <a:extLst>
            <a:ext uri="{FF2B5EF4-FFF2-40B4-BE49-F238E27FC236}">
              <a16:creationId xmlns:a16="http://schemas.microsoft.com/office/drawing/2014/main" id="{00000000-0008-0000-0000-000034000000}"/>
            </a:ext>
          </a:extLst>
        </xdr:cNvPr>
        <xdr:cNvSpPr/>
      </xdr:nvSpPr>
      <xdr:spPr>
        <a:xfrm>
          <a:off x="7924800" y="885825"/>
          <a:ext cx="2114551" cy="1114425"/>
        </a:xfrm>
        <a:prstGeom prst="foldedCorner">
          <a:avLst/>
        </a:prstGeom>
        <a:solidFill>
          <a:schemeClr val="bg1"/>
        </a:solidFill>
        <a:ln>
          <a:solidFill>
            <a:schemeClr val="accent1">
              <a:lumMod val="40000"/>
              <a:lumOff val="60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US" sz="1100" b="1">
              <a:solidFill>
                <a:schemeClr val="tx2"/>
              </a:solidFill>
              <a:latin typeface="+mn-lt"/>
              <a:ea typeface="+mn-ea"/>
              <a:cs typeface="+mn-cs"/>
            </a:rPr>
            <a:t>Personalize this calendar!</a:t>
          </a:r>
        </a:p>
        <a:p>
          <a:pPr marL="0" indent="0" algn="l"/>
          <a:endParaRPr lang="en-US" sz="1100">
            <a:solidFill>
              <a:schemeClr val="tx2"/>
            </a:solidFill>
            <a:latin typeface="+mn-lt"/>
            <a:ea typeface="+mn-ea"/>
            <a:cs typeface="+mn-cs"/>
          </a:endParaRPr>
        </a:p>
        <a:p>
          <a:pPr marL="0" indent="0" algn="l"/>
          <a:r>
            <a:rPr lang="en-US" sz="1100">
              <a:solidFill>
                <a:schemeClr val="tx2"/>
              </a:solidFill>
              <a:latin typeface="+mn-lt"/>
              <a:ea typeface="+mn-ea"/>
              <a:cs typeface="+mn-cs"/>
            </a:rPr>
            <a:t>Right-click any picture and then click Change Picture to swap it with your own.</a:t>
          </a:r>
        </a:p>
      </xdr:txBody>
    </xdr:sp>
    <xdr:clientData/>
  </xdr:twoCellAnchor>
  <xdr:twoCellAnchor editAs="oneCell">
    <xdr:from>
      <xdr:col>1</xdr:col>
      <xdr:colOff>381000</xdr:colOff>
      <xdr:row>378</xdr:row>
      <xdr:rowOff>139700</xdr:rowOff>
    </xdr:from>
    <xdr:to>
      <xdr:col>8</xdr:col>
      <xdr:colOff>190500</xdr:colOff>
      <xdr:row>392</xdr:row>
      <xdr:rowOff>132080</xdr:rowOff>
    </xdr:to>
    <xdr:pic>
      <xdr:nvPicPr>
        <xdr:cNvPr id="53" name="Picture 52">
          <a:extLst>
            <a:ext uri="{FF2B5EF4-FFF2-40B4-BE49-F238E27FC236}">
              <a16:creationId xmlns:a16="http://schemas.microsoft.com/office/drawing/2014/main" id="{00000000-0008-0000-0000-000035000000}"/>
            </a:ext>
          </a:extLst>
        </xdr:cNvPr>
        <xdr:cNvPicPr/>
      </xdr:nvPicPr>
      <xdr:blipFill>
        <a:blip xmlns:r="http://schemas.openxmlformats.org/officeDocument/2006/relationships" r:embed="rId5">
          <a:extLst>
            <a:ext uri="{BEBA8EAE-BF5A-486C-A8C5-ECC9F3942E4B}">
              <a14:imgProps xmlns:a14="http://schemas.microsoft.com/office/drawing/2010/main">
                <a14:imgLayer r:embed="rId6">
                  <a14:imgEffect>
                    <a14:colorTemperature colorTemp="6009"/>
                  </a14:imgEffect>
                  <a14:imgEffect>
                    <a14:saturation sat="400000"/>
                  </a14:imgEffect>
                </a14:imgLayer>
              </a14:imgProps>
            </a:ext>
            <a:ext uri="{28A0092B-C50C-407E-A947-70E740481C1C}">
              <a14:useLocalDpi xmlns:a14="http://schemas.microsoft.com/office/drawing/2010/main" val="0"/>
            </a:ext>
          </a:extLst>
        </a:blip>
        <a:srcRect/>
        <a:stretch>
          <a:fillRect/>
        </a:stretch>
      </xdr:blipFill>
      <xdr:spPr bwMode="auto">
        <a:xfrm>
          <a:off x="695325" y="112534700"/>
          <a:ext cx="3695700" cy="3326130"/>
        </a:xfrm>
        <a:prstGeom prst="rect">
          <a:avLst/>
        </a:prstGeom>
        <a:solidFill>
          <a:schemeClr val="bg2">
            <a:lumMod val="75000"/>
            <a:alpha val="48000"/>
          </a:schemeClr>
        </a:solidFill>
        <a:ln>
          <a:noFill/>
        </a:ln>
      </xdr:spPr>
    </xdr:pic>
    <xdr:clientData/>
  </xdr:twoCellAnchor>
  <xdr:twoCellAnchor editAs="oneCell">
    <xdr:from>
      <xdr:col>1</xdr:col>
      <xdr:colOff>101601</xdr:colOff>
      <xdr:row>344</xdr:row>
      <xdr:rowOff>152401</xdr:rowOff>
    </xdr:from>
    <xdr:to>
      <xdr:col>10</xdr:col>
      <xdr:colOff>101601</xdr:colOff>
      <xdr:row>357</xdr:row>
      <xdr:rowOff>152401</xdr:rowOff>
    </xdr:to>
    <xdr:pic>
      <xdr:nvPicPr>
        <xdr:cNvPr id="54" name="Picture 53">
          <a:extLst>
            <a:ext uri="{FF2B5EF4-FFF2-40B4-BE49-F238E27FC236}">
              <a16:creationId xmlns:a16="http://schemas.microsoft.com/office/drawing/2014/main" id="{00000000-0008-0000-0000-000036000000}"/>
            </a:ext>
          </a:extLst>
        </xdr:cNvPr>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31801" y="108966001"/>
          <a:ext cx="5092700" cy="3136900"/>
        </a:xfrm>
        <a:prstGeom prst="rect">
          <a:avLst/>
        </a:prstGeom>
        <a:noFill/>
        <a:ln>
          <a:noFill/>
        </a:ln>
      </xdr:spPr>
    </xdr:pic>
    <xdr:clientData/>
  </xdr:twoCellAnchor>
  <xdr:twoCellAnchor editAs="oneCell">
    <xdr:from>
      <xdr:col>1</xdr:col>
      <xdr:colOff>609600</xdr:colOff>
      <xdr:row>310</xdr:row>
      <xdr:rowOff>203200</xdr:rowOff>
    </xdr:from>
    <xdr:to>
      <xdr:col>9</xdr:col>
      <xdr:colOff>482600</xdr:colOff>
      <xdr:row>324</xdr:row>
      <xdr:rowOff>25400</xdr:rowOff>
    </xdr:to>
    <xdr:pic>
      <xdr:nvPicPr>
        <xdr:cNvPr id="55" name="Picture 54">
          <a:extLst>
            <a:ext uri="{FF2B5EF4-FFF2-40B4-BE49-F238E27FC236}">
              <a16:creationId xmlns:a16="http://schemas.microsoft.com/office/drawing/2014/main" id="{00000000-0008-0000-0000-000037000000}"/>
            </a:ext>
          </a:extLst>
        </xdr:cNvPr>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39800" y="98183700"/>
          <a:ext cx="4140200" cy="3200400"/>
        </a:xfrm>
        <a:prstGeom prst="rect">
          <a:avLst/>
        </a:prstGeom>
        <a:noFill/>
        <a:ln>
          <a:noFill/>
        </a:ln>
      </xdr:spPr>
    </xdr:pic>
    <xdr:clientData/>
  </xdr:twoCellAnchor>
  <xdr:twoCellAnchor editAs="oneCell">
    <xdr:from>
      <xdr:col>1</xdr:col>
      <xdr:colOff>520700</xdr:colOff>
      <xdr:row>275</xdr:row>
      <xdr:rowOff>12700</xdr:rowOff>
    </xdr:from>
    <xdr:to>
      <xdr:col>10</xdr:col>
      <xdr:colOff>76200</xdr:colOff>
      <xdr:row>287</xdr:row>
      <xdr:rowOff>173355</xdr:rowOff>
    </xdr:to>
    <xdr:pic>
      <xdr:nvPicPr>
        <xdr:cNvPr id="56" name="Picture 55">
          <a:extLst>
            <a:ext uri="{FF2B5EF4-FFF2-40B4-BE49-F238E27FC236}">
              <a16:creationId xmlns:a16="http://schemas.microsoft.com/office/drawing/2014/main" id="{00000000-0008-0000-0000-000038000000}"/>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50900" y="87401400"/>
          <a:ext cx="4648200" cy="3056255"/>
        </a:xfrm>
        <a:prstGeom prst="rect">
          <a:avLst/>
        </a:prstGeom>
        <a:noFill/>
        <a:ln>
          <a:noFill/>
        </a:ln>
      </xdr:spPr>
    </xdr:pic>
    <xdr:clientData/>
  </xdr:twoCellAnchor>
  <xdr:twoCellAnchor editAs="oneCell">
    <xdr:from>
      <xdr:col>1</xdr:col>
      <xdr:colOff>381000</xdr:colOff>
      <xdr:row>241</xdr:row>
      <xdr:rowOff>0</xdr:rowOff>
    </xdr:from>
    <xdr:to>
      <xdr:col>10</xdr:col>
      <xdr:colOff>12700</xdr:colOff>
      <xdr:row>253</xdr:row>
      <xdr:rowOff>179070</xdr:rowOff>
    </xdr:to>
    <xdr:pic>
      <xdr:nvPicPr>
        <xdr:cNvPr id="57" name="Picture 56">
          <a:extLst>
            <a:ext uri="{FF2B5EF4-FFF2-40B4-BE49-F238E27FC236}">
              <a16:creationId xmlns:a16="http://schemas.microsoft.com/office/drawing/2014/main" id="{00000000-0008-0000-0000-000039000000}"/>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11200" y="76555600"/>
          <a:ext cx="4724400" cy="3074670"/>
        </a:xfrm>
        <a:prstGeom prst="rect">
          <a:avLst/>
        </a:prstGeom>
        <a:noFill/>
        <a:ln>
          <a:noFill/>
        </a:ln>
      </xdr:spPr>
    </xdr:pic>
    <xdr:clientData/>
  </xdr:twoCellAnchor>
  <xdr:twoCellAnchor editAs="oneCell">
    <xdr:from>
      <xdr:col>1</xdr:col>
      <xdr:colOff>635000</xdr:colOff>
      <xdr:row>206</xdr:row>
      <xdr:rowOff>177800</xdr:rowOff>
    </xdr:from>
    <xdr:to>
      <xdr:col>9</xdr:col>
      <xdr:colOff>685800</xdr:colOff>
      <xdr:row>220</xdr:row>
      <xdr:rowOff>127000</xdr:rowOff>
    </xdr:to>
    <xdr:pic>
      <xdr:nvPicPr>
        <xdr:cNvPr id="62" name="Picture 61">
          <a:extLst>
            <a:ext uri="{FF2B5EF4-FFF2-40B4-BE49-F238E27FC236}">
              <a16:creationId xmlns:a16="http://schemas.microsoft.com/office/drawing/2014/main" id="{00000000-0008-0000-0000-00003E000000}"/>
            </a:ext>
          </a:extLst>
        </xdr:cNvPr>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65200" y="65659000"/>
          <a:ext cx="4318000" cy="3327400"/>
        </a:xfrm>
        <a:prstGeom prst="rect">
          <a:avLst/>
        </a:prstGeom>
        <a:noFill/>
        <a:ln>
          <a:noFill/>
        </a:ln>
      </xdr:spPr>
    </xdr:pic>
    <xdr:clientData/>
  </xdr:twoCellAnchor>
  <xdr:twoCellAnchor editAs="oneCell">
    <xdr:from>
      <xdr:col>1</xdr:col>
      <xdr:colOff>546100</xdr:colOff>
      <xdr:row>172</xdr:row>
      <xdr:rowOff>203201</xdr:rowOff>
    </xdr:from>
    <xdr:to>
      <xdr:col>9</xdr:col>
      <xdr:colOff>571500</xdr:colOff>
      <xdr:row>186</xdr:row>
      <xdr:rowOff>63501</xdr:rowOff>
    </xdr:to>
    <xdr:pic>
      <xdr:nvPicPr>
        <xdr:cNvPr id="64" name="Picture 63">
          <a:extLst>
            <a:ext uri="{FF2B5EF4-FFF2-40B4-BE49-F238E27FC236}">
              <a16:creationId xmlns:a16="http://schemas.microsoft.com/office/drawing/2014/main" id="{00000000-0008-0000-0000-000040000000}"/>
            </a:ext>
          </a:extLst>
        </xdr:cNvPr>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876300" y="54851301"/>
          <a:ext cx="4292600" cy="3238500"/>
        </a:xfrm>
        <a:prstGeom prst="rect">
          <a:avLst/>
        </a:prstGeom>
        <a:noFill/>
        <a:ln>
          <a:noFill/>
        </a:ln>
      </xdr:spPr>
    </xdr:pic>
    <xdr:clientData/>
  </xdr:twoCellAnchor>
  <xdr:twoCellAnchor editAs="oneCell">
    <xdr:from>
      <xdr:col>1</xdr:col>
      <xdr:colOff>190500</xdr:colOff>
      <xdr:row>138</xdr:row>
      <xdr:rowOff>228600</xdr:rowOff>
    </xdr:from>
    <xdr:to>
      <xdr:col>10</xdr:col>
      <xdr:colOff>152400</xdr:colOff>
      <xdr:row>151</xdr:row>
      <xdr:rowOff>189230</xdr:rowOff>
    </xdr:to>
    <xdr:pic>
      <xdr:nvPicPr>
        <xdr:cNvPr id="65" name="Picture 64">
          <a:extLst>
            <a:ext uri="{FF2B5EF4-FFF2-40B4-BE49-F238E27FC236}">
              <a16:creationId xmlns:a16="http://schemas.microsoft.com/office/drawing/2014/main" id="{00000000-0008-0000-0000-000041000000}"/>
            </a:ext>
          </a:extLst>
        </xdr:cNvPr>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20700" y="44043600"/>
          <a:ext cx="5054600" cy="3097530"/>
        </a:xfrm>
        <a:prstGeom prst="rect">
          <a:avLst/>
        </a:prstGeom>
        <a:noFill/>
        <a:ln>
          <a:noFill/>
        </a:ln>
      </xdr:spPr>
    </xdr:pic>
    <xdr:clientData/>
  </xdr:twoCellAnchor>
  <xdr:twoCellAnchor editAs="oneCell">
    <xdr:from>
      <xdr:col>1</xdr:col>
      <xdr:colOff>317500</xdr:colOff>
      <xdr:row>105</xdr:row>
      <xdr:rowOff>101600</xdr:rowOff>
    </xdr:from>
    <xdr:to>
      <xdr:col>10</xdr:col>
      <xdr:colOff>25400</xdr:colOff>
      <xdr:row>117</xdr:row>
      <xdr:rowOff>77470</xdr:rowOff>
    </xdr:to>
    <xdr:pic>
      <xdr:nvPicPr>
        <xdr:cNvPr id="66" name="Picture 65">
          <a:extLst>
            <a:ext uri="{FF2B5EF4-FFF2-40B4-BE49-F238E27FC236}">
              <a16:creationId xmlns:a16="http://schemas.microsoft.com/office/drawing/2014/main" id="{00000000-0008-0000-0000-000042000000}"/>
            </a:ext>
          </a:extLst>
        </xdr:cNvPr>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47700" y="33324800"/>
          <a:ext cx="4800600" cy="2871470"/>
        </a:xfrm>
        <a:prstGeom prst="rect">
          <a:avLst/>
        </a:prstGeom>
        <a:noFill/>
        <a:ln>
          <a:noFill/>
        </a:ln>
      </xdr:spPr>
    </xdr:pic>
    <xdr:clientData/>
  </xdr:twoCellAnchor>
  <xdr:twoCellAnchor editAs="oneCell">
    <xdr:from>
      <xdr:col>2</xdr:col>
      <xdr:colOff>114300</xdr:colOff>
      <xdr:row>71</xdr:row>
      <xdr:rowOff>38100</xdr:rowOff>
    </xdr:from>
    <xdr:to>
      <xdr:col>9</xdr:col>
      <xdr:colOff>431800</xdr:colOff>
      <xdr:row>83</xdr:row>
      <xdr:rowOff>168910</xdr:rowOff>
    </xdr:to>
    <xdr:pic>
      <xdr:nvPicPr>
        <xdr:cNvPr id="67" name="Picture 66">
          <a:extLst>
            <a:ext uri="{FF2B5EF4-FFF2-40B4-BE49-F238E27FC236}">
              <a16:creationId xmlns:a16="http://schemas.microsoft.com/office/drawing/2014/main" id="{00000000-0008-0000-0000-000043000000}"/>
            </a:ext>
          </a:extLst>
        </xdr:cNvPr>
        <xdr:cNvPicPr/>
      </xdr:nvPicPr>
      <xdr:blipFill>
        <a:blip xmlns:r="http://schemas.openxmlformats.org/officeDocument/2006/relationships" r:embed="rId15">
          <a:extLst>
            <a:ext uri="{BEBA8EAE-BF5A-486C-A8C5-ECC9F3942E4B}">
              <a14:imgProps xmlns:a14="http://schemas.microsoft.com/office/drawing/2010/main">
                <a14:imgLayer r:embed="rId16">
                  <a14:imgEffect>
                    <a14:saturation sat="393000"/>
                  </a14:imgEffect>
                </a14:imgLayer>
              </a14:imgProps>
            </a:ext>
            <a:ext uri="{28A0092B-C50C-407E-A947-70E740481C1C}">
              <a14:useLocalDpi xmlns:a14="http://schemas.microsoft.com/office/drawing/2010/main" val="0"/>
            </a:ext>
          </a:extLst>
        </a:blip>
        <a:srcRect/>
        <a:stretch>
          <a:fillRect/>
        </a:stretch>
      </xdr:blipFill>
      <xdr:spPr bwMode="auto">
        <a:xfrm>
          <a:off x="1270000" y="22428200"/>
          <a:ext cx="3759200" cy="3026410"/>
        </a:xfrm>
        <a:prstGeom prst="rect">
          <a:avLst/>
        </a:prstGeom>
        <a:noFill/>
        <a:ln>
          <a:solidFill>
            <a:schemeClr val="bg1"/>
          </a:solidFill>
        </a:ln>
        <a:effectLst/>
      </xdr:spPr>
    </xdr:pic>
    <xdr:clientData/>
  </xdr:twoCellAnchor>
  <xdr:twoCellAnchor editAs="oneCell">
    <xdr:from>
      <xdr:col>1</xdr:col>
      <xdr:colOff>190500</xdr:colOff>
      <xdr:row>37</xdr:row>
      <xdr:rowOff>25400</xdr:rowOff>
    </xdr:from>
    <xdr:to>
      <xdr:col>10</xdr:col>
      <xdr:colOff>190500</xdr:colOff>
      <xdr:row>49</xdr:row>
      <xdr:rowOff>203200</xdr:rowOff>
    </xdr:to>
    <xdr:pic>
      <xdr:nvPicPr>
        <xdr:cNvPr id="68" name="Picture 67">
          <a:extLst>
            <a:ext uri="{FF2B5EF4-FFF2-40B4-BE49-F238E27FC236}">
              <a16:creationId xmlns:a16="http://schemas.microsoft.com/office/drawing/2014/main" id="{00000000-0008-0000-0000-000044000000}"/>
            </a:ext>
          </a:extLst>
        </xdr:cNvPr>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20700" y="11760200"/>
          <a:ext cx="5092700" cy="2921000"/>
        </a:xfrm>
        <a:prstGeom prst="rect">
          <a:avLst/>
        </a:prstGeom>
        <a:noFill/>
        <a:ln>
          <a:noFill/>
        </a:ln>
      </xdr:spPr>
    </xdr:pic>
    <xdr:clientData/>
  </xdr:twoCellAnchor>
  <xdr:twoCellAnchor editAs="oneCell">
    <xdr:from>
      <xdr:col>1</xdr:col>
      <xdr:colOff>225425</xdr:colOff>
      <xdr:row>2</xdr:row>
      <xdr:rowOff>225425</xdr:rowOff>
    </xdr:from>
    <xdr:to>
      <xdr:col>9</xdr:col>
      <xdr:colOff>733425</xdr:colOff>
      <xdr:row>15</xdr:row>
      <xdr:rowOff>138430</xdr:rowOff>
    </xdr:to>
    <xdr:pic>
      <xdr:nvPicPr>
        <xdr:cNvPr id="69" name="Picture 68">
          <a:extLst>
            <a:ext uri="{FF2B5EF4-FFF2-40B4-BE49-F238E27FC236}">
              <a16:creationId xmlns:a16="http://schemas.microsoft.com/office/drawing/2014/main" id="{00000000-0008-0000-0000-000045000000}"/>
            </a:ext>
          </a:extLst>
        </xdr:cNvPr>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539750" y="1092200"/>
          <a:ext cx="4622800" cy="3008630"/>
        </a:xfrm>
        <a:prstGeom prst="rect">
          <a:avLst/>
        </a:prstGeom>
        <a:noFill/>
        <a:ln>
          <a:noFill/>
        </a:ln>
      </xdr:spPr>
    </xdr:pic>
    <xdr:clientData/>
  </xdr:twoCellAnchor>
</xdr:wsDr>
</file>

<file path=xl/theme/theme1.xml><?xml version="1.0" encoding="utf-8"?>
<a:theme xmlns:a="http://schemas.openxmlformats.org/drawingml/2006/main" name="Thatch">
  <a:themeElements>
    <a:clrScheme name="Family Calendar 1">
      <a:dk1>
        <a:sysClr val="windowText" lastClr="000000"/>
      </a:dk1>
      <a:lt1>
        <a:sysClr val="window" lastClr="FFFFFF"/>
      </a:lt1>
      <a:dk2>
        <a:srgbClr val="4E5B6F"/>
      </a:dk2>
      <a:lt2>
        <a:srgbClr val="D6ECFF"/>
      </a:lt2>
      <a:accent1>
        <a:srgbClr val="56B0AD"/>
      </a:accent1>
      <a:accent2>
        <a:srgbClr val="74AA15"/>
      </a:accent2>
      <a:accent3>
        <a:srgbClr val="F4DB0B"/>
      </a:accent3>
      <a:accent4>
        <a:srgbClr val="F45500"/>
      </a:accent4>
      <a:accent5>
        <a:srgbClr val="EB8803"/>
      </a:accent5>
      <a:accent6>
        <a:srgbClr val="7030A0"/>
      </a:accent6>
      <a:hlink>
        <a:srgbClr val="425EA9"/>
      </a:hlink>
      <a:folHlink>
        <a:srgbClr val="AAB8DE"/>
      </a:folHlink>
    </a:clrScheme>
    <a:fontScheme name="Family Calendar 1">
      <a:majorFont>
        <a:latin typeface="Cambria"/>
        <a:ea typeface=""/>
        <a:cs typeface=""/>
      </a:majorFont>
      <a:minorFont>
        <a:latin typeface="Cambria"/>
        <a:ea typeface=""/>
        <a:cs typeface=""/>
      </a:minorFont>
    </a:fontScheme>
    <a:fmtScheme name="Thatch">
      <a:fillStyleLst>
        <a:solidFill>
          <a:schemeClr val="phClr"/>
        </a:solidFill>
        <a:gradFill rotWithShape="1">
          <a:gsLst>
            <a:gs pos="0">
              <a:schemeClr val="phClr">
                <a:tint val="79000"/>
                <a:satMod val="180000"/>
              </a:schemeClr>
            </a:gs>
            <a:gs pos="65000">
              <a:schemeClr val="phClr">
                <a:tint val="52000"/>
                <a:satMod val="250000"/>
              </a:schemeClr>
            </a:gs>
            <a:gs pos="100000">
              <a:schemeClr val="phClr">
                <a:tint val="29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9525" cap="flat" cmpd="sng" algn="ctr">
          <a:solidFill>
            <a:schemeClr val="phClr"/>
          </a:solidFill>
          <a:prstDash val="solid"/>
        </a:ln>
        <a:ln w="15875" cap="flat" cmpd="sng" algn="ctr">
          <a:solidFill>
            <a:schemeClr val="phClr"/>
          </a:solidFill>
          <a:prstDash val="solid"/>
        </a:ln>
        <a:ln w="38100" cap="flat" cmpd="sng" algn="ctr">
          <a:solidFill>
            <a:schemeClr val="phClr"/>
          </a:solidFill>
          <a:prstDash val="solid"/>
        </a:ln>
      </a:lnStyleLst>
      <a:effectStyleLst>
        <a:effectStyle>
          <a:effectLst>
            <a:outerShdw blurRad="63500" dist="25400" dir="5400000" rotWithShape="0">
              <a:srgbClr val="000000">
                <a:alpha val="43000"/>
              </a:srgbClr>
            </a:outerShdw>
          </a:effectLst>
        </a:effectStyle>
        <a:effectStyle>
          <a:effectLst>
            <a:outerShdw blurRad="63500" dist="25400" dir="5400000" rotWithShape="0">
              <a:srgbClr val="000000">
                <a:alpha val="43000"/>
              </a:srgbClr>
            </a:outerShdw>
          </a:effectLst>
          <a:scene3d>
            <a:camera prst="orthographicFront">
              <a:rot lat="0" lon="0" rev="0"/>
            </a:camera>
            <a:lightRig rig="brightRoom" dir="t">
              <a:rot lat="0" lon="0" rev="8700000"/>
            </a:lightRig>
          </a:scene3d>
          <a:sp3d contourW="12700" prstMaterial="dkEdge">
            <a:bevelT w="0" h="0" prst="relaxedInset"/>
            <a:contourClr>
              <a:schemeClr val="phClr">
                <a:shade val="65000"/>
                <a:satMod val="150000"/>
              </a:schemeClr>
            </a:contourClr>
          </a:sp3d>
        </a:effectStyle>
        <a:effectStyle>
          <a:effectLst>
            <a:outerShdw blurRad="63500" dist="25400" dir="5400000" rotWithShape="0">
              <a:srgbClr val="000000">
                <a:alpha val="43000"/>
              </a:srgbClr>
            </a:outerShdw>
          </a:effectLst>
          <a:scene3d>
            <a:camera prst="orthographicFront">
              <a:rot lat="0" lon="0" rev="0"/>
            </a:camera>
            <a:lightRig rig="glow" dir="t">
              <a:rot lat="0" lon="0" rev="13200000"/>
            </a:lightRig>
          </a:scene3d>
          <a:sp3d prstMaterial="dkEdge">
            <a:bevelT w="63500" h="50800" prst="relaxedInset"/>
          </a:sp3d>
        </a:effectStyle>
      </a:effectStyleLst>
      <a:bgFillStyleLst>
        <a:solidFill>
          <a:schemeClr val="phClr"/>
        </a:solidFill>
        <a:gradFill rotWithShape="1">
          <a:gsLst>
            <a:gs pos="0">
              <a:schemeClr val="phClr">
                <a:tint val="85000"/>
                <a:shade val="95000"/>
                <a:satMod val="200000"/>
              </a:schemeClr>
            </a:gs>
            <a:gs pos="53000">
              <a:schemeClr val="phClr">
                <a:shade val="60000"/>
                <a:satMod val="220000"/>
              </a:schemeClr>
            </a:gs>
            <a:gs pos="100000">
              <a:schemeClr val="phClr">
                <a:shade val="45000"/>
                <a:satMod val="220000"/>
              </a:schemeClr>
            </a:gs>
          </a:gsLst>
          <a:lin ang="16200000" scaled="0"/>
        </a:gradFill>
        <a:gradFill rotWithShape="1">
          <a:gsLst>
            <a:gs pos="0">
              <a:schemeClr val="phClr">
                <a:tint val="83000"/>
                <a:shade val="97000"/>
                <a:satMod val="230000"/>
              </a:schemeClr>
            </a:gs>
            <a:gs pos="100000">
              <a:schemeClr val="phClr">
                <a:shade val="35000"/>
                <a:satMod val="250000"/>
              </a:schemeClr>
            </a:gs>
          </a:gsLst>
          <a:path path="circle">
            <a:fillToRect l="15000" t="50000" r="85000" b="6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V412"/>
  <sheetViews>
    <sheetView showGridLines="0" tabSelected="1" workbookViewId="0">
      <selection activeCell="R10" sqref="R10"/>
    </sheetView>
  </sheetViews>
  <sheetFormatPr defaultColWidth="6.6640625" defaultRowHeight="14.25" x14ac:dyDescent="0.2"/>
  <cols>
    <col min="1" max="1" width="3.6640625" style="5" customWidth="1"/>
    <col min="2" max="2" width="9.33203125" style="5" customWidth="1"/>
    <col min="3" max="3" width="2.6640625" style="5" customWidth="1"/>
    <col min="4" max="4" width="9.33203125" style="5" customWidth="1"/>
    <col min="5" max="5" width="2.6640625" style="5" customWidth="1"/>
    <col min="6" max="6" width="9.33203125" style="5" customWidth="1"/>
    <col min="7" max="7" width="2.6640625" style="5" customWidth="1"/>
    <col min="8" max="8" width="9.33203125" style="5" customWidth="1"/>
    <col min="9" max="9" width="2.6640625" style="5" customWidth="1"/>
    <col min="10" max="10" width="9.33203125" style="5" customWidth="1"/>
    <col min="11" max="11" width="2.6640625" style="5" customWidth="1"/>
    <col min="12" max="12" width="9.33203125" style="5" customWidth="1"/>
    <col min="13" max="13" width="2.6640625" style="5" customWidth="1"/>
    <col min="14" max="14" width="9.33203125" style="5" customWidth="1"/>
    <col min="15" max="15" width="2.6640625" style="5" customWidth="1"/>
    <col min="16" max="16" width="1.33203125" style="5" customWidth="1"/>
    <col min="17" max="17" width="3.109375" style="5" customWidth="1"/>
    <col min="18" max="16384" width="6.6640625" style="5"/>
  </cols>
  <sheetData>
    <row r="1" spans="1:16" s="14" customFormat="1" x14ac:dyDescent="0.2"/>
    <row r="2" spans="1:16" ht="54" customHeight="1" x14ac:dyDescent="0.2">
      <c r="A2" s="57" t="str">
        <f>TEXT(DATE(CalendarYear,1,1),"mmmm")</f>
        <v>January</v>
      </c>
      <c r="B2" s="57"/>
      <c r="C2" s="57"/>
      <c r="D2" s="57"/>
      <c r="E2" s="57"/>
      <c r="F2" s="57"/>
      <c r="G2" s="57"/>
      <c r="H2" s="13"/>
      <c r="I2" s="4"/>
      <c r="J2" s="4"/>
      <c r="L2" s="49">
        <v>2019</v>
      </c>
      <c r="M2" s="49"/>
      <c r="N2" s="49"/>
      <c r="O2" s="49"/>
      <c r="P2" s="49"/>
    </row>
    <row r="3" spans="1:16" ht="18.75" customHeight="1" x14ac:dyDescent="0.35">
      <c r="A3" s="3"/>
      <c r="B3" s="1"/>
      <c r="C3" s="1"/>
      <c r="D3" s="1"/>
      <c r="E3" s="2"/>
      <c r="F3" s="2"/>
      <c r="G3" s="2"/>
      <c r="H3" s="4"/>
      <c r="I3" s="4"/>
      <c r="J3" s="4"/>
      <c r="L3" s="58"/>
      <c r="M3" s="58"/>
      <c r="N3" s="58"/>
      <c r="O3" s="58"/>
    </row>
    <row r="4" spans="1:16" ht="18.75" customHeight="1" x14ac:dyDescent="0.35">
      <c r="A4" s="3"/>
      <c r="B4" s="1"/>
      <c r="C4" s="1"/>
      <c r="D4" s="1"/>
      <c r="E4" s="2"/>
      <c r="F4" s="2"/>
      <c r="G4" s="2"/>
      <c r="H4" s="4"/>
      <c r="I4" s="4"/>
      <c r="J4" s="4"/>
    </row>
    <row r="5" spans="1:16" ht="18.75" customHeight="1" x14ac:dyDescent="0.35">
      <c r="A5" s="3"/>
      <c r="B5" s="1"/>
      <c r="C5" s="1"/>
      <c r="D5" s="1"/>
      <c r="E5" s="2"/>
      <c r="F5" s="2"/>
      <c r="G5" s="2"/>
      <c r="H5" s="4"/>
      <c r="I5" s="4"/>
      <c r="J5" s="4"/>
    </row>
    <row r="6" spans="1:16" ht="18.75" customHeight="1" x14ac:dyDescent="0.35">
      <c r="A6" s="3"/>
      <c r="B6" s="1"/>
      <c r="C6" s="1"/>
      <c r="D6" s="1"/>
      <c r="E6" s="2"/>
      <c r="F6" s="2"/>
      <c r="G6" s="2"/>
      <c r="H6" s="4"/>
      <c r="I6" s="4"/>
      <c r="J6" s="4"/>
    </row>
    <row r="7" spans="1:16" ht="18.75" customHeight="1" x14ac:dyDescent="0.35">
      <c r="A7" s="3"/>
      <c r="B7" s="1"/>
      <c r="C7" s="1"/>
      <c r="D7" s="1"/>
      <c r="E7" s="2"/>
      <c r="F7" s="2"/>
      <c r="G7" s="2"/>
      <c r="H7" s="4"/>
      <c r="I7" s="4"/>
      <c r="J7" s="4"/>
    </row>
    <row r="8" spans="1:16" ht="18.75" customHeight="1" x14ac:dyDescent="0.35">
      <c r="A8" s="3"/>
      <c r="B8" s="1"/>
      <c r="C8" s="1"/>
      <c r="D8" s="1"/>
      <c r="E8" s="2"/>
      <c r="F8" s="2"/>
      <c r="G8" s="2"/>
      <c r="H8" s="4"/>
      <c r="I8" s="4"/>
      <c r="J8" s="4"/>
    </row>
    <row r="9" spans="1:16" ht="18.75" customHeight="1" x14ac:dyDescent="0.35">
      <c r="A9" s="3"/>
      <c r="B9" s="1"/>
      <c r="C9" s="1"/>
      <c r="D9" s="1"/>
      <c r="E9" s="2"/>
      <c r="F9" s="2"/>
      <c r="G9" s="2"/>
      <c r="H9" s="4"/>
      <c r="I9" s="4"/>
      <c r="J9" s="4"/>
    </row>
    <row r="10" spans="1:16" ht="18.75" customHeight="1" x14ac:dyDescent="0.35">
      <c r="A10" s="3"/>
      <c r="B10" s="1"/>
      <c r="C10" s="1"/>
      <c r="D10" s="1"/>
      <c r="E10" s="2"/>
      <c r="F10" s="2"/>
      <c r="G10" s="2"/>
      <c r="H10" s="4"/>
      <c r="I10" s="4"/>
      <c r="J10" s="4"/>
    </row>
    <row r="11" spans="1:16" ht="18.75" customHeight="1" x14ac:dyDescent="0.35">
      <c r="A11" s="3"/>
      <c r="B11" s="1"/>
      <c r="C11" s="1"/>
      <c r="D11" s="1"/>
      <c r="E11" s="2"/>
      <c r="F11" s="2"/>
      <c r="G11" s="2"/>
      <c r="H11" s="4"/>
      <c r="I11" s="4"/>
      <c r="J11" s="4"/>
    </row>
    <row r="12" spans="1:16" ht="18.75" customHeight="1" x14ac:dyDescent="0.35">
      <c r="A12" s="3"/>
      <c r="B12" s="1"/>
      <c r="C12" s="1"/>
      <c r="D12" s="1"/>
      <c r="E12" s="2"/>
      <c r="F12" s="2"/>
      <c r="G12" s="2"/>
      <c r="H12" s="4"/>
      <c r="I12" s="4"/>
      <c r="J12" s="4"/>
    </row>
    <row r="13" spans="1:16" ht="18.75" customHeight="1" x14ac:dyDescent="0.35">
      <c r="A13" s="3"/>
      <c r="B13" s="1"/>
      <c r="C13" s="1"/>
      <c r="D13" s="1"/>
      <c r="E13" s="2"/>
      <c r="F13" s="2"/>
      <c r="G13" s="2"/>
      <c r="H13" s="4"/>
      <c r="I13" s="4"/>
      <c r="J13" s="4"/>
    </row>
    <row r="14" spans="1:16" ht="18.75" customHeight="1" x14ac:dyDescent="0.35">
      <c r="A14" s="3"/>
      <c r="B14" s="1"/>
      <c r="C14" s="1"/>
      <c r="D14" s="1"/>
      <c r="E14" s="2"/>
      <c r="F14" s="2"/>
      <c r="G14" s="2"/>
      <c r="H14" s="4"/>
      <c r="I14" s="4"/>
      <c r="J14" s="4"/>
    </row>
    <row r="15" spans="1:16" ht="18.75" customHeight="1" x14ac:dyDescent="0.35">
      <c r="A15" s="3"/>
      <c r="B15" s="1"/>
      <c r="C15" s="1"/>
      <c r="D15" s="1"/>
      <c r="E15" s="2"/>
      <c r="F15" s="2"/>
      <c r="G15" s="2"/>
      <c r="H15" s="4"/>
      <c r="I15" s="4"/>
      <c r="J15" s="4"/>
    </row>
    <row r="16" spans="1:16" ht="18.75" customHeight="1" x14ac:dyDescent="0.35">
      <c r="A16" s="3"/>
      <c r="B16" s="1"/>
      <c r="C16" s="1"/>
      <c r="D16" s="1"/>
      <c r="E16" s="2"/>
      <c r="F16" s="2"/>
      <c r="G16" s="2"/>
      <c r="H16" s="4"/>
      <c r="I16" s="4"/>
      <c r="J16" s="4"/>
    </row>
    <row r="17" spans="1:22" ht="18.75" customHeight="1" x14ac:dyDescent="0.25">
      <c r="A17" s="6"/>
      <c r="B17" s="7"/>
      <c r="C17" s="7"/>
      <c r="D17" s="7"/>
      <c r="E17" s="7"/>
      <c r="F17" s="7"/>
      <c r="G17" s="7"/>
      <c r="H17" s="7"/>
      <c r="I17" s="7"/>
      <c r="J17" s="7"/>
      <c r="K17" s="7"/>
      <c r="L17" s="7"/>
      <c r="M17" s="7"/>
      <c r="N17" s="7"/>
      <c r="O17" s="7"/>
    </row>
    <row r="18" spans="1:22" s="6" customFormat="1" ht="27" customHeight="1" x14ac:dyDescent="0.25">
      <c r="B18" s="54" t="s">
        <v>0</v>
      </c>
      <c r="C18" s="54"/>
      <c r="D18" s="50" t="s">
        <v>1</v>
      </c>
      <c r="E18" s="50"/>
      <c r="F18" s="50" t="s">
        <v>2</v>
      </c>
      <c r="G18" s="50"/>
      <c r="H18" s="50" t="s">
        <v>3</v>
      </c>
      <c r="I18" s="50"/>
      <c r="J18" s="50" t="s">
        <v>4</v>
      </c>
      <c r="K18" s="50"/>
      <c r="L18" s="50" t="s">
        <v>5</v>
      </c>
      <c r="M18" s="50"/>
      <c r="N18" s="50" t="s">
        <v>6</v>
      </c>
      <c r="O18" s="50"/>
      <c r="P18" s="5"/>
      <c r="Q18" s="8"/>
      <c r="U18" s="5"/>
      <c r="V18" s="5"/>
    </row>
    <row r="19" spans="1:22" s="9" customFormat="1" ht="16.5" customHeight="1" x14ac:dyDescent="0.25">
      <c r="B19" s="25"/>
      <c r="C19" s="42">
        <f>IF(DAY(JanSun1)=1,JanSun1-6,JanSun1+1)</f>
        <v>43465</v>
      </c>
      <c r="D19" s="26"/>
      <c r="E19" s="42">
        <f>IF(DAY(JanSun1)=1,JanSun1-5,JanSun1+2)</f>
        <v>43466</v>
      </c>
      <c r="F19" s="26"/>
      <c r="G19" s="42">
        <f>IF(DAY(JanSun1)=1,JanSun1-4,JanSun1+3)</f>
        <v>43467</v>
      </c>
      <c r="H19" s="26"/>
      <c r="I19" s="42">
        <f>IF(DAY(JanSun1)=1,JanSun1-3,JanSun1+4)</f>
        <v>43468</v>
      </c>
      <c r="J19" s="26"/>
      <c r="K19" s="42">
        <f>IF(DAY(JanSun1)=1,JanSun1-2,JanSun1+5)</f>
        <v>43469</v>
      </c>
      <c r="L19" s="26"/>
      <c r="M19" s="42">
        <f>IF(DAY(JanSun1)=1,JanSun1-1,JanSun1+6)</f>
        <v>43470</v>
      </c>
      <c r="N19" s="26"/>
      <c r="O19" s="42">
        <f>IF(DAY(JanSun1)=1,JanSun1,JanSun1+7)</f>
        <v>43471</v>
      </c>
      <c r="P19" s="10"/>
      <c r="Q19" s="10"/>
      <c r="U19" s="11"/>
      <c r="V19" s="10"/>
    </row>
    <row r="20" spans="1:22" s="12" customFormat="1" ht="55.5" customHeight="1" x14ac:dyDescent="0.25">
      <c r="A20" s="6"/>
      <c r="B20" s="51"/>
      <c r="C20" s="52"/>
      <c r="D20" s="52"/>
      <c r="E20" s="52"/>
      <c r="F20" s="52"/>
      <c r="G20" s="52"/>
      <c r="H20" s="52"/>
      <c r="I20" s="52"/>
      <c r="J20" s="52"/>
      <c r="K20" s="52"/>
      <c r="L20" s="53"/>
      <c r="M20" s="53"/>
      <c r="N20" s="53"/>
      <c r="O20" s="53"/>
    </row>
    <row r="21" spans="1:22" s="12" customFormat="1" ht="8.25" customHeight="1" x14ac:dyDescent="0.25">
      <c r="A21" s="6"/>
      <c r="B21" s="55"/>
      <c r="C21" s="55"/>
      <c r="D21" s="55"/>
      <c r="E21" s="55"/>
      <c r="F21" s="55"/>
      <c r="G21" s="55"/>
      <c r="H21" s="55"/>
      <c r="I21" s="55"/>
      <c r="J21" s="55"/>
      <c r="K21" s="55"/>
      <c r="L21" s="56"/>
      <c r="M21" s="56"/>
      <c r="N21" s="56"/>
      <c r="O21" s="56"/>
    </row>
    <row r="22" spans="1:22" s="10" customFormat="1" ht="16.5" customHeight="1" x14ac:dyDescent="0.25">
      <c r="A22" s="9"/>
      <c r="B22" s="27"/>
      <c r="C22" s="42">
        <f>IF(DAY(JanSun1)=1,JanSun1+1,JanSun1+8)</f>
        <v>43472</v>
      </c>
      <c r="D22" s="26"/>
      <c r="E22" s="42">
        <f>IF(DAY(JanSun1)=1,JanSun1+2,JanSun1+9)</f>
        <v>43473</v>
      </c>
      <c r="F22" s="26"/>
      <c r="G22" s="42">
        <f>IF(DAY(JanSun1)=1,JanSun1+3,JanSun1+10)</f>
        <v>43474</v>
      </c>
      <c r="H22" s="26"/>
      <c r="I22" s="42">
        <f>IF(DAY(JanSun1)=1,JanSun1+4,JanSun1+11)</f>
        <v>43475</v>
      </c>
      <c r="J22" s="26"/>
      <c r="K22" s="42">
        <f>IF(DAY(JanSun1)=1,JanSun1+5,JanSun1+12)</f>
        <v>43476</v>
      </c>
      <c r="L22" s="26"/>
      <c r="M22" s="42">
        <f>IF(DAY(JanSun1)=1,JanSun1+6,JanSun1+13)</f>
        <v>43477</v>
      </c>
      <c r="N22" s="26"/>
      <c r="O22" s="43">
        <f>IF(DAY(JanSun1)=1,JanSun1+7,JanSun1+14)</f>
        <v>43478</v>
      </c>
    </row>
    <row r="23" spans="1:22" ht="55.5" customHeight="1" x14ac:dyDescent="0.25">
      <c r="A23" s="6"/>
      <c r="B23" s="51"/>
      <c r="C23" s="52"/>
      <c r="D23" s="52"/>
      <c r="E23" s="52"/>
      <c r="F23" s="52" t="s">
        <v>7</v>
      </c>
      <c r="G23" s="52"/>
      <c r="H23" s="52"/>
      <c r="I23" s="52"/>
      <c r="J23" s="52"/>
      <c r="K23" s="52"/>
      <c r="L23" s="53"/>
      <c r="M23" s="53"/>
      <c r="N23" s="53"/>
      <c r="O23" s="53"/>
    </row>
    <row r="24" spans="1:22" ht="8.25" customHeight="1" x14ac:dyDescent="0.25">
      <c r="A24" s="6"/>
      <c r="B24" s="55"/>
      <c r="C24" s="55"/>
      <c r="D24" s="55"/>
      <c r="E24" s="55"/>
      <c r="F24" s="55"/>
      <c r="G24" s="55"/>
      <c r="H24" s="55"/>
      <c r="I24" s="55"/>
      <c r="J24" s="55"/>
      <c r="K24" s="55"/>
      <c r="L24" s="56"/>
      <c r="M24" s="56"/>
      <c r="N24" s="56"/>
      <c r="O24" s="56"/>
    </row>
    <row r="25" spans="1:22" s="10" customFormat="1" ht="16.5" customHeight="1" x14ac:dyDescent="0.25">
      <c r="A25" s="9"/>
      <c r="B25" s="27"/>
      <c r="C25" s="42">
        <f>IF(DAY(JanSun1)=1,JanSun1+8,JanSun1+15)</f>
        <v>43479</v>
      </c>
      <c r="D25" s="26"/>
      <c r="E25" s="42">
        <f>IF(DAY(JanSun1)=1,JanSun1+9,JanSun1+16)</f>
        <v>43480</v>
      </c>
      <c r="F25" s="26"/>
      <c r="G25" s="42">
        <f>IF(DAY(JanSun1)=1,JanSun1+10,JanSun1+17)</f>
        <v>43481</v>
      </c>
      <c r="H25" s="26"/>
      <c r="I25" s="42">
        <f>IF(DAY(JanSun1)=1,JanSun1+11,JanSun1+18)</f>
        <v>43482</v>
      </c>
      <c r="J25" s="26"/>
      <c r="K25" s="42">
        <f>IF(DAY(JanSun1)=1,JanSun1+12,JanSun1+19)</f>
        <v>43483</v>
      </c>
      <c r="L25" s="26"/>
      <c r="M25" s="42">
        <f>IF(DAY(JanSun1)=1,JanSun1+13,JanSun1+20)</f>
        <v>43484</v>
      </c>
      <c r="N25" s="26"/>
      <c r="O25" s="42">
        <f>IF(DAY(JanSun1)=1,JanSun1+14,JanSun1+21)</f>
        <v>43485</v>
      </c>
    </row>
    <row r="26" spans="1:22" ht="55.5" customHeight="1" x14ac:dyDescent="0.25">
      <c r="A26" s="6"/>
      <c r="B26" s="51"/>
      <c r="C26" s="52"/>
      <c r="D26" s="52"/>
      <c r="E26" s="52"/>
      <c r="F26" s="52"/>
      <c r="G26" s="52"/>
      <c r="H26" s="52"/>
      <c r="I26" s="52"/>
      <c r="J26" s="52"/>
      <c r="K26" s="52"/>
      <c r="L26" s="53"/>
      <c r="M26" s="53"/>
      <c r="N26" s="53"/>
      <c r="O26" s="53"/>
    </row>
    <row r="27" spans="1:22" ht="8.25" customHeight="1" x14ac:dyDescent="0.25">
      <c r="A27" s="6"/>
      <c r="B27" s="55"/>
      <c r="C27" s="55"/>
      <c r="D27" s="55"/>
      <c r="E27" s="55"/>
      <c r="F27" s="55"/>
      <c r="G27" s="55"/>
      <c r="H27" s="55"/>
      <c r="I27" s="55"/>
      <c r="J27" s="55"/>
      <c r="K27" s="55"/>
      <c r="L27" s="56"/>
      <c r="M27" s="56"/>
      <c r="N27" s="56"/>
      <c r="O27" s="56"/>
    </row>
    <row r="28" spans="1:22" s="10" customFormat="1" ht="16.5" customHeight="1" x14ac:dyDescent="0.25">
      <c r="A28" s="9"/>
      <c r="B28" s="27"/>
      <c r="C28" s="42">
        <f>IF(DAY(JanSun1)=1,JanSun1+15,JanSun1+22)</f>
        <v>43486</v>
      </c>
      <c r="D28" s="26"/>
      <c r="E28" s="42">
        <f>IF(DAY(JanSun1)=1,JanSun1+16,JanSun1+23)</f>
        <v>43487</v>
      </c>
      <c r="F28" s="26"/>
      <c r="G28" s="42">
        <f>IF(DAY(JanSun1)=1,JanSun1+17,JanSun1+24)</f>
        <v>43488</v>
      </c>
      <c r="H28" s="26"/>
      <c r="I28" s="42">
        <f>IF(DAY(JanSun1)=1,JanSun1+18,JanSun1+25)</f>
        <v>43489</v>
      </c>
      <c r="J28" s="26"/>
      <c r="K28" s="42">
        <f>IF(DAY(JanSun1)=1,JanSun1+19,JanSun1+26)</f>
        <v>43490</v>
      </c>
      <c r="L28" s="26"/>
      <c r="M28" s="42">
        <f>IF(DAY(JanSun1)=1,JanSun1+20,JanSun1+27)</f>
        <v>43491</v>
      </c>
      <c r="N28" s="26"/>
      <c r="O28" s="42">
        <f>IF(DAY(JanSun1)=1,JanSun1+21,JanSun1+28)</f>
        <v>43492</v>
      </c>
    </row>
    <row r="29" spans="1:22" ht="55.5" customHeight="1" x14ac:dyDescent="0.25">
      <c r="A29" s="6"/>
      <c r="B29" s="51"/>
      <c r="C29" s="52"/>
      <c r="D29" s="52"/>
      <c r="E29" s="52"/>
      <c r="F29" s="52"/>
      <c r="G29" s="52"/>
      <c r="H29" s="52"/>
      <c r="I29" s="52"/>
      <c r="J29" s="52"/>
      <c r="K29" s="52"/>
      <c r="L29" s="53"/>
      <c r="M29" s="53"/>
      <c r="N29" s="53"/>
      <c r="O29" s="53"/>
    </row>
    <row r="30" spans="1:22" ht="8.25" customHeight="1" x14ac:dyDescent="0.25">
      <c r="A30" s="6"/>
      <c r="B30" s="55"/>
      <c r="C30" s="55"/>
      <c r="D30" s="55"/>
      <c r="E30" s="55"/>
      <c r="F30" s="55"/>
      <c r="G30" s="55"/>
      <c r="H30" s="55"/>
      <c r="I30" s="55"/>
      <c r="J30" s="55"/>
      <c r="K30" s="55"/>
      <c r="L30" s="56"/>
      <c r="M30" s="56"/>
      <c r="N30" s="56"/>
      <c r="O30" s="56"/>
    </row>
    <row r="31" spans="1:22" s="10" customFormat="1" ht="16.5" customHeight="1" x14ac:dyDescent="0.25">
      <c r="A31" s="9"/>
      <c r="B31" s="27"/>
      <c r="C31" s="42">
        <f>IF(DAY(JanSun1)=1,JanSun1+22,JanSun1+29)</f>
        <v>43493</v>
      </c>
      <c r="D31" s="26"/>
      <c r="E31" s="42">
        <f>IF(DAY(JanSun1)=1,JanSun1+23,JanSun1+30)</f>
        <v>43494</v>
      </c>
      <c r="F31" s="26"/>
      <c r="G31" s="42">
        <f>IF(DAY(JanSun1)=1,JanSun1+24,JanSun1+31)</f>
        <v>43495</v>
      </c>
      <c r="H31" s="26"/>
      <c r="I31" s="42">
        <f>IF(DAY(JanSun1)=1,JanSun1+25,JanSun1+32)</f>
        <v>43496</v>
      </c>
      <c r="J31" s="26"/>
      <c r="K31" s="19">
        <f>IF(DAY(JanSun1)=1,JanSun1+26,JanSun1+33)</f>
        <v>43497</v>
      </c>
      <c r="L31" s="26"/>
      <c r="M31" s="19">
        <f>IF(DAY(JanSun1)=1,JanSun1+27,JanSun1+34)</f>
        <v>43498</v>
      </c>
      <c r="N31" s="26"/>
      <c r="O31" s="19">
        <f>IF(DAY(JanSun1)=1,JanSun1+28,JanSun1+35)</f>
        <v>43499</v>
      </c>
    </row>
    <row r="32" spans="1:22" ht="55.5" customHeight="1" x14ac:dyDescent="0.25">
      <c r="A32" s="6"/>
      <c r="B32" s="51"/>
      <c r="C32" s="52"/>
      <c r="D32" s="52"/>
      <c r="E32" s="52"/>
      <c r="F32" s="52"/>
      <c r="G32" s="52"/>
      <c r="H32" s="52"/>
      <c r="I32" s="52"/>
      <c r="J32" s="52"/>
      <c r="K32" s="52"/>
      <c r="L32" s="53"/>
      <c r="M32" s="53"/>
      <c r="N32" s="53"/>
      <c r="O32" s="53"/>
    </row>
    <row r="33" spans="1:16" ht="8.25" customHeight="1" x14ac:dyDescent="0.25">
      <c r="A33" s="6"/>
      <c r="B33" s="55"/>
      <c r="C33" s="55"/>
      <c r="D33" s="55"/>
      <c r="E33" s="55"/>
      <c r="F33" s="55"/>
      <c r="G33" s="55"/>
      <c r="H33" s="55"/>
      <c r="I33" s="55"/>
      <c r="J33" s="55"/>
      <c r="K33" s="55"/>
      <c r="L33" s="56"/>
      <c r="M33" s="56"/>
      <c r="N33" s="56"/>
      <c r="O33" s="56"/>
    </row>
    <row r="34" spans="1:16" ht="7.5" customHeight="1" x14ac:dyDescent="0.2">
      <c r="B34" s="41"/>
      <c r="C34" s="41"/>
      <c r="D34" s="41"/>
      <c r="E34" s="41"/>
      <c r="F34" s="41"/>
      <c r="G34" s="41"/>
      <c r="H34" s="41"/>
      <c r="I34" s="41"/>
      <c r="J34" s="41"/>
      <c r="K34" s="41"/>
      <c r="L34" s="41"/>
      <c r="M34" s="41"/>
      <c r="N34" s="41"/>
      <c r="O34" s="41"/>
    </row>
    <row r="35" spans="1:16" s="15" customFormat="1" x14ac:dyDescent="0.2"/>
    <row r="36" spans="1:16" s="15" customFormat="1" ht="54" customHeight="1" x14ac:dyDescent="0.2">
      <c r="A36" s="57" t="str">
        <f>TEXT(DATE(CalendarYear,2,1),"mmmm")</f>
        <v>February</v>
      </c>
      <c r="B36" s="57"/>
      <c r="C36" s="57"/>
      <c r="D36" s="57"/>
      <c r="E36" s="57"/>
      <c r="F36" s="57"/>
      <c r="G36" s="57"/>
      <c r="H36" s="13"/>
      <c r="I36" s="4"/>
      <c r="J36" s="4"/>
      <c r="L36" s="49">
        <f>CalendarYear</f>
        <v>2019</v>
      </c>
      <c r="M36" s="49"/>
      <c r="N36" s="49"/>
      <c r="O36" s="49"/>
      <c r="P36" s="49"/>
    </row>
    <row r="37" spans="1:16" s="15" customFormat="1" ht="18.75" customHeight="1" x14ac:dyDescent="0.35">
      <c r="A37" s="3"/>
      <c r="B37" s="1"/>
      <c r="C37" s="1"/>
      <c r="D37" s="1"/>
      <c r="E37" s="2"/>
      <c r="F37" s="2"/>
      <c r="G37" s="2"/>
      <c r="H37" s="4"/>
      <c r="I37" s="4"/>
      <c r="J37" s="4"/>
      <c r="L37" s="58"/>
      <c r="M37" s="58"/>
      <c r="N37" s="58"/>
      <c r="O37" s="58"/>
    </row>
    <row r="38" spans="1:16" s="15" customFormat="1" ht="18.75" customHeight="1" x14ac:dyDescent="0.35">
      <c r="A38" s="3"/>
      <c r="B38" s="1"/>
      <c r="C38" s="1"/>
      <c r="D38" s="1"/>
      <c r="E38" s="2"/>
      <c r="F38" s="2"/>
      <c r="G38" s="2"/>
      <c r="H38" s="4"/>
      <c r="I38" s="4"/>
      <c r="J38" s="4"/>
    </row>
    <row r="39" spans="1:16" s="15" customFormat="1" ht="18.75" customHeight="1" x14ac:dyDescent="0.35">
      <c r="A39" s="3"/>
      <c r="B39" s="1"/>
      <c r="C39" s="1"/>
      <c r="D39" s="1"/>
      <c r="E39" s="2"/>
      <c r="F39" s="2"/>
      <c r="G39" s="2"/>
      <c r="H39" s="4"/>
      <c r="I39" s="4"/>
      <c r="J39" s="4"/>
    </row>
    <row r="40" spans="1:16" s="15" customFormat="1" ht="18.75" customHeight="1" x14ac:dyDescent="0.35">
      <c r="A40" s="3"/>
      <c r="B40" s="1"/>
      <c r="C40" s="1"/>
      <c r="D40" s="1"/>
      <c r="E40" s="2"/>
      <c r="F40" s="2"/>
      <c r="G40" s="2"/>
      <c r="H40" s="4"/>
      <c r="I40" s="4"/>
      <c r="J40" s="4"/>
    </row>
    <row r="41" spans="1:16" s="15" customFormat="1" ht="18.75" customHeight="1" x14ac:dyDescent="0.35">
      <c r="A41" s="3"/>
      <c r="B41" s="1"/>
      <c r="C41" s="1"/>
      <c r="D41" s="1"/>
      <c r="E41" s="2"/>
      <c r="F41" s="2"/>
      <c r="G41" s="2"/>
      <c r="H41" s="4"/>
      <c r="I41" s="4"/>
      <c r="J41" s="4"/>
    </row>
    <row r="42" spans="1:16" s="15" customFormat="1" ht="18.75" customHeight="1" x14ac:dyDescent="0.35">
      <c r="A42" s="3"/>
      <c r="B42" s="1"/>
      <c r="C42" s="1"/>
      <c r="D42" s="1"/>
      <c r="E42" s="2"/>
      <c r="F42" s="2"/>
      <c r="G42" s="2"/>
      <c r="H42" s="4"/>
      <c r="I42" s="4"/>
      <c r="J42" s="4"/>
    </row>
    <row r="43" spans="1:16" s="15" customFormat="1" ht="18.75" customHeight="1" x14ac:dyDescent="0.35">
      <c r="A43" s="3"/>
      <c r="B43" s="1"/>
      <c r="C43" s="1"/>
      <c r="D43" s="1"/>
      <c r="E43" s="2"/>
      <c r="F43" s="2"/>
      <c r="G43" s="2"/>
      <c r="H43" s="4"/>
      <c r="I43" s="4"/>
      <c r="J43" s="4"/>
    </row>
    <row r="44" spans="1:16" s="15" customFormat="1" ht="18.75" customHeight="1" x14ac:dyDescent="0.35">
      <c r="A44" s="3"/>
      <c r="B44" s="1"/>
      <c r="C44" s="1"/>
      <c r="D44" s="1"/>
      <c r="E44" s="2"/>
      <c r="F44" s="2"/>
      <c r="G44" s="2"/>
      <c r="H44" s="4"/>
      <c r="I44" s="4"/>
      <c r="J44" s="4"/>
    </row>
    <row r="45" spans="1:16" s="15" customFormat="1" ht="18.75" customHeight="1" x14ac:dyDescent="0.35">
      <c r="A45" s="3"/>
      <c r="B45" s="1"/>
      <c r="C45" s="1"/>
      <c r="D45" s="1"/>
      <c r="E45" s="2"/>
      <c r="F45" s="2"/>
      <c r="G45" s="2"/>
      <c r="H45" s="4"/>
      <c r="I45" s="4"/>
      <c r="J45" s="4"/>
    </row>
    <row r="46" spans="1:16" s="15" customFormat="1" ht="18.75" customHeight="1" x14ac:dyDescent="0.35">
      <c r="A46" s="3"/>
      <c r="B46" s="1"/>
      <c r="C46" s="1"/>
      <c r="D46" s="1"/>
      <c r="E46" s="2"/>
      <c r="F46" s="2"/>
      <c r="G46" s="2"/>
      <c r="H46" s="4"/>
      <c r="I46" s="4"/>
      <c r="J46" s="4"/>
    </row>
    <row r="47" spans="1:16" s="15" customFormat="1" ht="18.75" customHeight="1" x14ac:dyDescent="0.35">
      <c r="A47" s="3"/>
      <c r="B47" s="1"/>
      <c r="C47" s="1"/>
      <c r="D47" s="1"/>
      <c r="E47" s="2"/>
      <c r="F47" s="2"/>
      <c r="G47" s="2"/>
      <c r="H47" s="4"/>
      <c r="I47" s="4"/>
      <c r="J47" s="4"/>
    </row>
    <row r="48" spans="1:16" s="15" customFormat="1" ht="18.75" customHeight="1" x14ac:dyDescent="0.35">
      <c r="A48" s="3"/>
      <c r="B48" s="1"/>
      <c r="C48" s="1"/>
      <c r="D48" s="1"/>
      <c r="E48" s="2"/>
      <c r="F48" s="2"/>
      <c r="G48" s="2"/>
      <c r="H48" s="4"/>
      <c r="I48" s="4"/>
      <c r="J48" s="4"/>
    </row>
    <row r="49" spans="1:22" s="15" customFormat="1" ht="18.75" customHeight="1" x14ac:dyDescent="0.35">
      <c r="A49" s="3"/>
      <c r="B49" s="1"/>
      <c r="C49" s="1"/>
      <c r="D49" s="1"/>
      <c r="E49" s="2"/>
      <c r="F49" s="2"/>
      <c r="G49" s="2"/>
      <c r="H49" s="4"/>
      <c r="I49" s="4"/>
      <c r="J49" s="4"/>
    </row>
    <row r="50" spans="1:22" s="15" customFormat="1" ht="18.75" customHeight="1" x14ac:dyDescent="0.35">
      <c r="A50" s="3"/>
      <c r="B50" s="1"/>
      <c r="C50" s="1"/>
      <c r="D50" s="1"/>
      <c r="E50" s="2"/>
      <c r="F50" s="2"/>
      <c r="G50" s="2"/>
      <c r="H50" s="4"/>
      <c r="I50" s="4"/>
      <c r="J50" s="4"/>
    </row>
    <row r="51" spans="1:22" s="15" customFormat="1" ht="18.75" customHeight="1" x14ac:dyDescent="0.25">
      <c r="A51" s="6"/>
      <c r="B51" s="7"/>
      <c r="C51" s="7"/>
      <c r="D51" s="7"/>
      <c r="E51" s="7"/>
      <c r="F51" s="7"/>
      <c r="G51" s="7"/>
      <c r="H51" s="7"/>
      <c r="I51" s="7"/>
      <c r="J51" s="7"/>
      <c r="K51" s="7"/>
      <c r="L51" s="7"/>
      <c r="M51" s="7"/>
      <c r="N51" s="7"/>
      <c r="O51" s="7"/>
    </row>
    <row r="52" spans="1:22" s="6" customFormat="1" ht="27" customHeight="1" x14ac:dyDescent="0.25">
      <c r="B52" s="54" t="s">
        <v>0</v>
      </c>
      <c r="C52" s="54"/>
      <c r="D52" s="50" t="s">
        <v>1</v>
      </c>
      <c r="E52" s="50"/>
      <c r="F52" s="50" t="s">
        <v>2</v>
      </c>
      <c r="G52" s="50"/>
      <c r="H52" s="50" t="s">
        <v>3</v>
      </c>
      <c r="I52" s="50"/>
      <c r="J52" s="50" t="s">
        <v>4</v>
      </c>
      <c r="K52" s="50"/>
      <c r="L52" s="50" t="s">
        <v>5</v>
      </c>
      <c r="M52" s="50"/>
      <c r="N52" s="50" t="s">
        <v>6</v>
      </c>
      <c r="O52" s="50"/>
      <c r="P52" s="15"/>
      <c r="Q52" s="8"/>
      <c r="U52" s="15"/>
      <c r="V52" s="15"/>
    </row>
    <row r="53" spans="1:22" s="9" customFormat="1" ht="16.5" customHeight="1" x14ac:dyDescent="0.25">
      <c r="B53" s="25"/>
      <c r="C53" s="19">
        <f>IF(DAY(FebSun1)=1,FebSun1-6,FebSun1+1)</f>
        <v>43493</v>
      </c>
      <c r="D53" s="26"/>
      <c r="E53" s="19">
        <f>IF(DAY(FebSun1)=1,FebSun1-5,FebSun1+2)</f>
        <v>43494</v>
      </c>
      <c r="F53" s="26"/>
      <c r="G53" s="19">
        <f>IF(DAY(FebSun1)=1,FebSun1-4,FebSun1+3)</f>
        <v>43495</v>
      </c>
      <c r="H53" s="26"/>
      <c r="I53" s="19">
        <f>IF(DAY(FebSun1)=1,FebSun1-3,FebSun1+4)</f>
        <v>43496</v>
      </c>
      <c r="J53" s="26"/>
      <c r="K53" s="42">
        <f>IF(DAY(FebSun1)=1,FebSun1-2,FebSun1+5)</f>
        <v>43497</v>
      </c>
      <c r="L53" s="26"/>
      <c r="M53" s="42">
        <f>IF(DAY(FebSun1)=1,FebSun1-1,FebSun1+6)</f>
        <v>43498</v>
      </c>
      <c r="N53" s="26"/>
      <c r="O53" s="42">
        <f>IF(DAY(FebSun1)=1,FebSun1,FebSun1+7)</f>
        <v>43499</v>
      </c>
      <c r="P53" s="10"/>
      <c r="Q53" s="10"/>
      <c r="U53" s="11"/>
      <c r="V53" s="10"/>
    </row>
    <row r="54" spans="1:22" s="12" customFormat="1" ht="55.5" customHeight="1" x14ac:dyDescent="0.25">
      <c r="A54" s="6"/>
      <c r="B54" s="51"/>
      <c r="C54" s="52"/>
      <c r="D54" s="52"/>
      <c r="E54" s="52"/>
      <c r="F54" s="52"/>
      <c r="G54" s="52"/>
      <c r="H54" s="52"/>
      <c r="I54" s="52"/>
      <c r="J54" s="52"/>
      <c r="K54" s="52"/>
      <c r="L54" s="53"/>
      <c r="M54" s="53"/>
      <c r="N54" s="53"/>
      <c r="O54" s="53"/>
    </row>
    <row r="55" spans="1:22" s="12" customFormat="1" ht="8.25" customHeight="1" x14ac:dyDescent="0.25">
      <c r="A55" s="6"/>
      <c r="B55" s="55"/>
      <c r="C55" s="55"/>
      <c r="D55" s="55"/>
      <c r="E55" s="55"/>
      <c r="F55" s="55"/>
      <c r="G55" s="55"/>
      <c r="H55" s="55"/>
      <c r="I55" s="55"/>
      <c r="J55" s="55"/>
      <c r="K55" s="55"/>
      <c r="L55" s="56"/>
      <c r="M55" s="56"/>
      <c r="N55" s="56"/>
      <c r="O55" s="56"/>
    </row>
    <row r="56" spans="1:22" s="10" customFormat="1" ht="16.5" customHeight="1" x14ac:dyDescent="0.25">
      <c r="A56" s="9"/>
      <c r="B56" s="27"/>
      <c r="C56" s="42">
        <f>IF(DAY(FebSun1)=1,FebSun1+1,FebSun1+8)</f>
        <v>43500</v>
      </c>
      <c r="D56" s="26"/>
      <c r="E56" s="42">
        <f>IF(DAY(FebSun1)=1,FebSun1+2,FebSun1+9)</f>
        <v>43501</v>
      </c>
      <c r="F56" s="26"/>
      <c r="G56" s="19">
        <f>IF(DAY(FebSun1)=1,FebSun1+3,FebSun1+10)</f>
        <v>43502</v>
      </c>
      <c r="H56" s="26"/>
      <c r="I56" s="42">
        <f>IF(DAY(FebSun1)=1,FebSun1+4,FebSun1+11)</f>
        <v>43503</v>
      </c>
      <c r="J56" s="26"/>
      <c r="K56" s="42">
        <f>IF(DAY(FebSun1)=1,FebSun1+5,FebSun1+12)</f>
        <v>43504</v>
      </c>
      <c r="L56" s="26"/>
      <c r="M56" s="42">
        <f>IF(DAY(FebSun1)=1,FebSun1+6,FebSun1+13)</f>
        <v>43505</v>
      </c>
      <c r="N56" s="26"/>
      <c r="O56" s="43">
        <f>IF(DAY(FebSun1)=1,FebSun1+7,FebSun1+14)</f>
        <v>43506</v>
      </c>
    </row>
    <row r="57" spans="1:22" s="15" customFormat="1" ht="55.5" customHeight="1" x14ac:dyDescent="0.25">
      <c r="A57" s="6"/>
      <c r="B57" s="51"/>
      <c r="C57" s="52"/>
      <c r="D57" s="52"/>
      <c r="E57" s="52"/>
      <c r="F57" s="52" t="s">
        <v>7</v>
      </c>
      <c r="G57" s="52"/>
      <c r="H57" s="52"/>
      <c r="I57" s="52"/>
      <c r="J57" s="52"/>
      <c r="K57" s="52"/>
      <c r="L57" s="53"/>
      <c r="M57" s="53"/>
      <c r="N57" s="53"/>
      <c r="O57" s="53"/>
    </row>
    <row r="58" spans="1:22" s="15" customFormat="1" ht="8.25" customHeight="1" x14ac:dyDescent="0.25">
      <c r="A58" s="6"/>
      <c r="B58" s="55"/>
      <c r="C58" s="55"/>
      <c r="D58" s="55"/>
      <c r="E58" s="55"/>
      <c r="F58" s="55"/>
      <c r="G58" s="55"/>
      <c r="H58" s="55"/>
      <c r="I58" s="55"/>
      <c r="J58" s="55"/>
      <c r="K58" s="55"/>
      <c r="L58" s="56"/>
      <c r="M58" s="56"/>
      <c r="N58" s="56"/>
      <c r="O58" s="56"/>
    </row>
    <row r="59" spans="1:22" s="10" customFormat="1" ht="16.5" customHeight="1" x14ac:dyDescent="0.25">
      <c r="A59" s="9"/>
      <c r="B59" s="27"/>
      <c r="C59" s="42">
        <f>IF(DAY(FebSun1)=1,FebSun1+8,FebSun1+15)</f>
        <v>43507</v>
      </c>
      <c r="D59" s="26"/>
      <c r="E59" s="42">
        <f>IF(DAY(FebSun1)=1,FebSun1+9,FebSun1+16)</f>
        <v>43508</v>
      </c>
      <c r="F59" s="26"/>
      <c r="G59" s="42">
        <f>IF(DAY(FebSun1)=1,FebSun1+10,FebSun1+17)</f>
        <v>43509</v>
      </c>
      <c r="H59" s="26"/>
      <c r="I59" s="42">
        <f>IF(DAY(FebSun1)=1,FebSun1+11,FebSun1+18)</f>
        <v>43510</v>
      </c>
      <c r="J59" s="26"/>
      <c r="K59" s="42">
        <f>IF(DAY(FebSun1)=1,FebSun1+12,FebSun1+19)</f>
        <v>43511</v>
      </c>
      <c r="L59" s="26"/>
      <c r="M59" s="42">
        <f>IF(DAY(FebSun1)=1,FebSun1+13,FebSun1+20)</f>
        <v>43512</v>
      </c>
      <c r="N59" s="26"/>
      <c r="O59" s="42">
        <f>IF(DAY(FebSun1)=1,FebSun1+14,FebSun1+21)</f>
        <v>43513</v>
      </c>
    </row>
    <row r="60" spans="1:22" s="15" customFormat="1" ht="55.5" customHeight="1" x14ac:dyDescent="0.25">
      <c r="A60" s="6"/>
      <c r="B60" s="51"/>
      <c r="C60" s="52"/>
      <c r="D60" s="52"/>
      <c r="E60" s="52"/>
      <c r="F60" s="52"/>
      <c r="G60" s="52"/>
      <c r="H60" s="52"/>
      <c r="I60" s="52"/>
      <c r="J60" s="52"/>
      <c r="K60" s="52"/>
      <c r="L60" s="53"/>
      <c r="M60" s="53"/>
      <c r="N60" s="53"/>
      <c r="O60" s="53"/>
    </row>
    <row r="61" spans="1:22" s="15" customFormat="1" ht="8.25" customHeight="1" x14ac:dyDescent="0.25">
      <c r="A61" s="6"/>
      <c r="B61" s="55"/>
      <c r="C61" s="55"/>
      <c r="D61" s="55"/>
      <c r="E61" s="55"/>
      <c r="F61" s="55"/>
      <c r="G61" s="55"/>
      <c r="H61" s="55"/>
      <c r="I61" s="55"/>
      <c r="J61" s="55"/>
      <c r="K61" s="55"/>
      <c r="L61" s="56"/>
      <c r="M61" s="56"/>
      <c r="N61" s="56"/>
      <c r="O61" s="56"/>
    </row>
    <row r="62" spans="1:22" s="10" customFormat="1" ht="16.5" customHeight="1" x14ac:dyDescent="0.25">
      <c r="A62" s="9"/>
      <c r="B62" s="27"/>
      <c r="C62" s="42">
        <f>IF(DAY(FebSun1)=1,FebSun1+15,FebSun1+22)</f>
        <v>43514</v>
      </c>
      <c r="D62" s="26"/>
      <c r="E62" s="42">
        <f>IF(DAY(FebSun1)=1,FebSun1+16,FebSun1+23)</f>
        <v>43515</v>
      </c>
      <c r="F62" s="26"/>
      <c r="G62" s="42">
        <f>IF(DAY(FebSun1)=1,FebSun1+17,FebSun1+24)</f>
        <v>43516</v>
      </c>
      <c r="H62" s="26"/>
      <c r="I62" s="42">
        <f>IF(DAY(FebSun1)=1,FebSun1+18,FebSun1+25)</f>
        <v>43517</v>
      </c>
      <c r="J62" s="26"/>
      <c r="K62" s="42">
        <f>IF(DAY(FebSun1)=1,FebSun1+19,FebSun1+26)</f>
        <v>43518</v>
      </c>
      <c r="L62" s="26"/>
      <c r="M62" s="42">
        <f>IF(DAY(FebSun1)=1,FebSun1+20,FebSun1+27)</f>
        <v>43519</v>
      </c>
      <c r="N62" s="26"/>
      <c r="O62" s="42">
        <f>IF(DAY(FebSun1)=1,FebSun1+21,FebSun1+28)</f>
        <v>43520</v>
      </c>
    </row>
    <row r="63" spans="1:22" s="15" customFormat="1" ht="55.5" customHeight="1" x14ac:dyDescent="0.25">
      <c r="A63" s="6"/>
      <c r="B63" s="51"/>
      <c r="C63" s="52"/>
      <c r="D63" s="52"/>
      <c r="E63" s="52"/>
      <c r="F63" s="52"/>
      <c r="G63" s="52"/>
      <c r="H63" s="52"/>
      <c r="I63" s="52"/>
      <c r="J63" s="52"/>
      <c r="K63" s="52"/>
      <c r="L63" s="53"/>
      <c r="M63" s="53"/>
      <c r="N63" s="53"/>
      <c r="O63" s="53"/>
    </row>
    <row r="64" spans="1:22" s="15" customFormat="1" ht="8.25" customHeight="1" x14ac:dyDescent="0.25">
      <c r="A64" s="6"/>
      <c r="B64" s="55"/>
      <c r="C64" s="55"/>
      <c r="D64" s="55"/>
      <c r="E64" s="55"/>
      <c r="F64" s="55"/>
      <c r="G64" s="55"/>
      <c r="H64" s="55"/>
      <c r="I64" s="55"/>
      <c r="J64" s="55"/>
      <c r="K64" s="55"/>
      <c r="L64" s="56"/>
      <c r="M64" s="56"/>
      <c r="N64" s="56"/>
      <c r="O64" s="56"/>
    </row>
    <row r="65" spans="1:16" s="10" customFormat="1" ht="16.5" customHeight="1" x14ac:dyDescent="0.25">
      <c r="A65" s="9"/>
      <c r="B65" s="27"/>
      <c r="C65" s="42">
        <f>IF(DAY(FebSun1)=1,FebSun1+22,FebSun1+29)</f>
        <v>43521</v>
      </c>
      <c r="D65" s="26"/>
      <c r="E65" s="42">
        <f>IF(DAY(FebSun1)=1,FebSun1+23,FebSun1+30)</f>
        <v>43522</v>
      </c>
      <c r="F65" s="26"/>
      <c r="G65" s="42">
        <f>IF(DAY(FebSun1)=1,FebSun1+24,FebSun1+31)</f>
        <v>43523</v>
      </c>
      <c r="H65" s="26"/>
      <c r="I65" s="42">
        <f>IF(DAY(FebSun1)=1,FebSun1+25,FebSun1+32)</f>
        <v>43524</v>
      </c>
      <c r="J65" s="26"/>
      <c r="K65" s="19">
        <f>IF(DAY(FebSun1)=1,FebSun1+26,FebSun1+33)</f>
        <v>43525</v>
      </c>
      <c r="L65" s="26"/>
      <c r="M65" s="19">
        <f>IF(DAY(FebSun1)=1,FebSun1+27,FebSun1+34)</f>
        <v>43526</v>
      </c>
      <c r="N65" s="26"/>
      <c r="O65" s="19">
        <f>IF(DAY(FebSun1)=1,FebSun1+28,FebSun1+35)</f>
        <v>43527</v>
      </c>
    </row>
    <row r="66" spans="1:16" s="15" customFormat="1" ht="55.5" customHeight="1" x14ac:dyDescent="0.25">
      <c r="A66" s="6"/>
      <c r="B66" s="51"/>
      <c r="C66" s="52"/>
      <c r="D66" s="52"/>
      <c r="E66" s="52"/>
      <c r="F66" s="52"/>
      <c r="G66" s="52"/>
      <c r="H66" s="52"/>
      <c r="I66" s="52"/>
      <c r="J66" s="52"/>
      <c r="K66" s="52"/>
      <c r="L66" s="53"/>
      <c r="M66" s="53"/>
      <c r="N66" s="53"/>
      <c r="O66" s="53"/>
    </row>
    <row r="67" spans="1:16" s="15" customFormat="1" ht="8.25" customHeight="1" x14ac:dyDescent="0.25">
      <c r="A67" s="6"/>
      <c r="B67" s="55"/>
      <c r="C67" s="55"/>
      <c r="D67" s="55"/>
      <c r="E67" s="55"/>
      <c r="F67" s="55"/>
      <c r="G67" s="55"/>
      <c r="H67" s="55"/>
      <c r="I67" s="55"/>
      <c r="J67" s="55"/>
      <c r="K67" s="55"/>
      <c r="L67" s="56"/>
      <c r="M67" s="56"/>
      <c r="N67" s="56"/>
      <c r="O67" s="56"/>
    </row>
    <row r="68" spans="1:16" s="15" customFormat="1" ht="7.5" customHeight="1" x14ac:dyDescent="0.2">
      <c r="B68" s="28"/>
      <c r="C68" s="28"/>
      <c r="D68" s="28"/>
      <c r="E68" s="28"/>
      <c r="F68" s="28"/>
      <c r="G68" s="28"/>
      <c r="H68" s="28"/>
      <c r="I68" s="28"/>
      <c r="J68" s="28"/>
      <c r="K68" s="28"/>
      <c r="L68" s="28"/>
      <c r="M68" s="28"/>
      <c r="N68" s="28"/>
      <c r="O68" s="28"/>
    </row>
    <row r="69" spans="1:16" s="15" customFormat="1" x14ac:dyDescent="0.2"/>
    <row r="70" spans="1:16" s="15" customFormat="1" ht="54" customHeight="1" x14ac:dyDescent="0.2">
      <c r="A70" s="61" t="str">
        <f>TEXT(DATE(CalendarYear,3,1),"mmmm")</f>
        <v>March</v>
      </c>
      <c r="B70" s="61"/>
      <c r="C70" s="61"/>
      <c r="D70" s="61"/>
      <c r="E70" s="61"/>
      <c r="F70" s="61"/>
      <c r="G70" s="61"/>
      <c r="H70" s="13"/>
      <c r="I70" s="4"/>
      <c r="J70" s="4"/>
      <c r="L70" s="59">
        <f>CalendarYear</f>
        <v>2019</v>
      </c>
      <c r="M70" s="59"/>
      <c r="N70" s="59"/>
      <c r="O70" s="59"/>
      <c r="P70" s="59"/>
    </row>
    <row r="71" spans="1:16" s="15" customFormat="1" ht="18.95" customHeight="1" x14ac:dyDescent="0.35">
      <c r="A71" s="3"/>
      <c r="B71" s="1"/>
      <c r="C71" s="1"/>
      <c r="D71" s="1"/>
      <c r="E71" s="2"/>
      <c r="F71" s="2"/>
      <c r="G71" s="2"/>
      <c r="H71" s="4"/>
      <c r="I71" s="4"/>
      <c r="J71" s="4"/>
    </row>
    <row r="72" spans="1:16" s="15" customFormat="1" ht="18.95" customHeight="1" x14ac:dyDescent="0.35">
      <c r="A72" s="3"/>
      <c r="B72" s="1"/>
      <c r="C72" s="1"/>
      <c r="D72" s="1"/>
      <c r="E72" s="2"/>
      <c r="F72" s="2"/>
      <c r="G72" s="2"/>
      <c r="H72" s="4"/>
      <c r="I72" s="4"/>
      <c r="J72" s="4"/>
    </row>
    <row r="73" spans="1:16" s="15" customFormat="1" ht="18.95" customHeight="1" x14ac:dyDescent="0.35">
      <c r="A73" s="3"/>
      <c r="B73" s="1"/>
      <c r="C73" s="1"/>
      <c r="D73" s="1"/>
      <c r="E73" s="2"/>
      <c r="F73" s="2"/>
      <c r="G73" s="2"/>
      <c r="H73" s="4"/>
      <c r="I73" s="4"/>
      <c r="J73" s="4"/>
    </row>
    <row r="74" spans="1:16" s="15" customFormat="1" ht="18.95" customHeight="1" x14ac:dyDescent="0.35">
      <c r="A74" s="3"/>
      <c r="B74" s="1"/>
      <c r="C74" s="1"/>
      <c r="D74" s="1"/>
      <c r="E74" s="2"/>
      <c r="F74" s="2"/>
      <c r="G74" s="2"/>
      <c r="H74" s="4"/>
      <c r="I74" s="4"/>
      <c r="J74" s="4"/>
    </row>
    <row r="75" spans="1:16" s="15" customFormat="1" ht="18.95" customHeight="1" x14ac:dyDescent="0.35">
      <c r="A75" s="3"/>
      <c r="B75" s="1"/>
      <c r="C75" s="1"/>
      <c r="D75" s="1"/>
      <c r="E75" s="2"/>
      <c r="F75" s="2"/>
      <c r="G75" s="2"/>
      <c r="H75" s="4"/>
      <c r="I75" s="4"/>
      <c r="J75" s="4"/>
    </row>
    <row r="76" spans="1:16" s="15" customFormat="1" ht="18.95" customHeight="1" x14ac:dyDescent="0.35">
      <c r="A76" s="3"/>
      <c r="B76" s="1"/>
      <c r="C76" s="1"/>
      <c r="D76" s="1"/>
      <c r="E76" s="2"/>
      <c r="F76" s="2"/>
      <c r="G76" s="2"/>
      <c r="H76" s="4"/>
      <c r="I76" s="4"/>
      <c r="J76" s="4"/>
    </row>
    <row r="77" spans="1:16" s="15" customFormat="1" ht="18.95" customHeight="1" x14ac:dyDescent="0.35">
      <c r="A77" s="3"/>
      <c r="B77" s="1"/>
      <c r="C77" s="1"/>
      <c r="D77" s="1"/>
      <c r="E77" s="2"/>
      <c r="F77" s="2"/>
      <c r="G77" s="2"/>
      <c r="H77" s="4"/>
      <c r="I77" s="4"/>
      <c r="J77" s="4"/>
    </row>
    <row r="78" spans="1:16" s="15" customFormat="1" ht="18.95" customHeight="1" x14ac:dyDescent="0.35">
      <c r="A78" s="3"/>
      <c r="B78" s="1"/>
      <c r="C78" s="1"/>
      <c r="D78" s="1"/>
      <c r="E78" s="2"/>
      <c r="F78" s="2"/>
      <c r="G78" s="2"/>
      <c r="H78" s="4"/>
      <c r="I78" s="4"/>
      <c r="J78" s="4"/>
    </row>
    <row r="79" spans="1:16" s="15" customFormat="1" ht="18.95" customHeight="1" x14ac:dyDescent="0.35">
      <c r="A79" s="3"/>
      <c r="B79" s="1"/>
      <c r="C79" s="1"/>
      <c r="D79" s="1"/>
      <c r="E79" s="2"/>
      <c r="F79" s="2"/>
      <c r="G79" s="2"/>
      <c r="H79" s="4"/>
      <c r="I79" s="4"/>
      <c r="J79" s="4"/>
    </row>
    <row r="80" spans="1:16" s="15" customFormat="1" ht="18.95" customHeight="1" x14ac:dyDescent="0.35">
      <c r="A80" s="3"/>
      <c r="B80" s="1"/>
      <c r="C80" s="1"/>
      <c r="D80" s="1"/>
      <c r="E80" s="2"/>
      <c r="F80" s="2"/>
      <c r="G80" s="2"/>
      <c r="H80" s="4"/>
      <c r="I80" s="4"/>
      <c r="J80" s="4"/>
    </row>
    <row r="81" spans="1:22" s="15" customFormat="1" ht="18.95" customHeight="1" x14ac:dyDescent="0.35">
      <c r="A81" s="3"/>
      <c r="B81" s="1"/>
      <c r="C81" s="1"/>
      <c r="D81" s="1"/>
      <c r="E81" s="2"/>
      <c r="F81" s="2"/>
      <c r="G81" s="2"/>
      <c r="H81" s="4"/>
      <c r="I81" s="4"/>
      <c r="J81" s="4"/>
    </row>
    <row r="82" spans="1:22" s="15" customFormat="1" ht="18.95" customHeight="1" x14ac:dyDescent="0.35">
      <c r="A82" s="3"/>
      <c r="B82" s="1"/>
      <c r="C82" s="1"/>
      <c r="D82" s="1"/>
      <c r="E82" s="2"/>
      <c r="F82" s="2"/>
      <c r="G82" s="2"/>
      <c r="H82" s="4"/>
      <c r="I82" s="4"/>
      <c r="J82" s="4"/>
    </row>
    <row r="83" spans="1:22" s="15" customFormat="1" ht="18.95" customHeight="1" x14ac:dyDescent="0.35">
      <c r="A83" s="3"/>
      <c r="B83" s="1"/>
      <c r="C83" s="1"/>
      <c r="D83" s="1"/>
      <c r="E83" s="2"/>
      <c r="F83" s="2"/>
      <c r="G83" s="2"/>
      <c r="H83" s="4"/>
      <c r="I83" s="4"/>
      <c r="J83" s="4"/>
    </row>
    <row r="84" spans="1:22" s="15" customFormat="1" ht="18.95" customHeight="1" x14ac:dyDescent="0.35">
      <c r="A84" s="3"/>
      <c r="B84" s="1"/>
      <c r="C84" s="1"/>
      <c r="D84" s="1"/>
      <c r="E84" s="2"/>
      <c r="F84" s="2"/>
      <c r="G84" s="2"/>
      <c r="H84" s="4"/>
      <c r="I84" s="4"/>
      <c r="J84" s="4"/>
    </row>
    <row r="85" spans="1:22" s="15" customFormat="1" ht="18.95" customHeight="1" x14ac:dyDescent="0.25">
      <c r="A85" s="6"/>
      <c r="B85" s="7"/>
      <c r="C85" s="7"/>
      <c r="D85" s="7"/>
      <c r="E85" s="7"/>
      <c r="F85" s="7"/>
      <c r="G85" s="7"/>
      <c r="H85" s="7"/>
      <c r="I85" s="7"/>
      <c r="J85" s="7"/>
      <c r="K85" s="7"/>
      <c r="L85" s="7"/>
      <c r="M85" s="7"/>
      <c r="N85" s="7"/>
      <c r="O85" s="7"/>
    </row>
    <row r="86" spans="1:22" s="6" customFormat="1" ht="27" customHeight="1" x14ac:dyDescent="0.25">
      <c r="B86" s="60" t="s">
        <v>0</v>
      </c>
      <c r="C86" s="60"/>
      <c r="D86" s="60" t="s">
        <v>1</v>
      </c>
      <c r="E86" s="60"/>
      <c r="F86" s="60" t="s">
        <v>2</v>
      </c>
      <c r="G86" s="60"/>
      <c r="H86" s="60" t="s">
        <v>3</v>
      </c>
      <c r="I86" s="60"/>
      <c r="J86" s="60" t="s">
        <v>4</v>
      </c>
      <c r="K86" s="60"/>
      <c r="L86" s="60" t="s">
        <v>5</v>
      </c>
      <c r="M86" s="60"/>
      <c r="N86" s="60" t="s">
        <v>6</v>
      </c>
      <c r="O86" s="60"/>
      <c r="P86" s="15"/>
      <c r="Q86" s="8"/>
      <c r="U86" s="15"/>
      <c r="V86" s="15"/>
    </row>
    <row r="87" spans="1:22" s="9" customFormat="1" ht="16.5" customHeight="1" x14ac:dyDescent="0.25">
      <c r="B87" s="37"/>
      <c r="C87" s="21">
        <f>IF(DAY(MarSun1)=1,MarSun1-6,MarSun1+1)</f>
        <v>43521</v>
      </c>
      <c r="D87" s="38"/>
      <c r="E87" s="21">
        <f>IF(DAY(MarSun1)=1,MarSun1-5,MarSun1+2)</f>
        <v>43522</v>
      </c>
      <c r="F87" s="38"/>
      <c r="G87" s="21">
        <f>IF(DAY(MarSun1)=1,MarSun1-4,MarSun1+3)</f>
        <v>43523</v>
      </c>
      <c r="H87" s="38"/>
      <c r="I87" s="21">
        <f>IF(DAY(MarSun1)=1,MarSun1-3,MarSun1+4)</f>
        <v>43524</v>
      </c>
      <c r="J87" s="38"/>
      <c r="K87" s="44">
        <f>IF(DAY(MarSun1)=1,MarSun1-2,MarSun1+5)</f>
        <v>43525</v>
      </c>
      <c r="L87" s="38"/>
      <c r="M87" s="44">
        <f>IF(DAY(MarSun1)=1,MarSun1-1,MarSun1+6)</f>
        <v>43526</v>
      </c>
      <c r="N87" s="38"/>
      <c r="O87" s="44">
        <f>IF(DAY(MarSun1)=1,MarSun1,MarSun1+7)</f>
        <v>43527</v>
      </c>
      <c r="P87" s="10"/>
      <c r="Q87" s="10"/>
      <c r="U87" s="11"/>
      <c r="V87" s="10"/>
    </row>
    <row r="88" spans="1:22" s="12" customFormat="1" ht="55.5" customHeight="1" x14ac:dyDescent="0.25">
      <c r="A88" s="6"/>
      <c r="B88" s="65"/>
      <c r="C88" s="66"/>
      <c r="D88" s="66"/>
      <c r="E88" s="66"/>
      <c r="F88" s="66"/>
      <c r="G88" s="66"/>
      <c r="H88" s="66"/>
      <c r="I88" s="66"/>
      <c r="J88" s="66"/>
      <c r="K88" s="66"/>
      <c r="L88" s="62"/>
      <c r="M88" s="62"/>
      <c r="N88" s="62"/>
      <c r="O88" s="62"/>
    </row>
    <row r="89" spans="1:22" s="12" customFormat="1" ht="8.25" customHeight="1" x14ac:dyDescent="0.25">
      <c r="A89" s="6"/>
      <c r="B89" s="63"/>
      <c r="C89" s="63"/>
      <c r="D89" s="63"/>
      <c r="E89" s="63"/>
      <c r="F89" s="63"/>
      <c r="G89" s="63"/>
      <c r="H89" s="63"/>
      <c r="I89" s="63"/>
      <c r="J89" s="63"/>
      <c r="K89" s="63"/>
      <c r="L89" s="64"/>
      <c r="M89" s="64"/>
      <c r="N89" s="64"/>
      <c r="O89" s="64"/>
    </row>
    <row r="90" spans="1:22" s="10" customFormat="1" ht="16.5" customHeight="1" x14ac:dyDescent="0.25">
      <c r="A90" s="9"/>
      <c r="B90" s="39"/>
      <c r="C90" s="44">
        <f>IF(DAY(MarSun1)=1,MarSun1+1,MarSun1+8)</f>
        <v>43528</v>
      </c>
      <c r="D90" s="38"/>
      <c r="E90" s="44">
        <f>IF(DAY(MarSun1)=1,MarSun1+2,MarSun1+9)</f>
        <v>43529</v>
      </c>
      <c r="F90" s="38"/>
      <c r="G90" s="21">
        <f>IF(DAY(MarSun1)=1,MarSun1+3,MarSun1+10)</f>
        <v>43530</v>
      </c>
      <c r="H90" s="38"/>
      <c r="I90" s="44">
        <f>IF(DAY(MarSun1)=1,MarSun1+4,MarSun1+11)</f>
        <v>43531</v>
      </c>
      <c r="J90" s="38"/>
      <c r="K90" s="44">
        <f>IF(DAY(MarSun1)=1,MarSun1+5,MarSun1+12)</f>
        <v>43532</v>
      </c>
      <c r="L90" s="38"/>
      <c r="M90" s="44">
        <f>IF(DAY(MarSun1)=1,MarSun1+6,MarSun1+13)</f>
        <v>43533</v>
      </c>
      <c r="N90" s="38"/>
      <c r="O90" s="44">
        <f>IF(DAY(MarSun1)=1,MarSun1+7,MarSun1+14)</f>
        <v>43534</v>
      </c>
    </row>
    <row r="91" spans="1:22" s="15" customFormat="1" ht="55.5" customHeight="1" x14ac:dyDescent="0.25">
      <c r="A91" s="6"/>
      <c r="B91" s="65"/>
      <c r="C91" s="66"/>
      <c r="D91" s="66"/>
      <c r="E91" s="66"/>
      <c r="F91" s="66" t="s">
        <v>7</v>
      </c>
      <c r="G91" s="66"/>
      <c r="H91" s="66"/>
      <c r="I91" s="66"/>
      <c r="J91" s="66"/>
      <c r="K91" s="66"/>
      <c r="L91" s="62"/>
      <c r="M91" s="62"/>
      <c r="N91" s="62"/>
      <c r="O91" s="62"/>
    </row>
    <row r="92" spans="1:22" s="15" customFormat="1" ht="8.25" customHeight="1" x14ac:dyDescent="0.25">
      <c r="A92" s="6"/>
      <c r="B92" s="63"/>
      <c r="C92" s="63"/>
      <c r="D92" s="63"/>
      <c r="E92" s="63"/>
      <c r="F92" s="63"/>
      <c r="G92" s="63"/>
      <c r="H92" s="63"/>
      <c r="I92" s="63"/>
      <c r="J92" s="63"/>
      <c r="K92" s="63"/>
      <c r="L92" s="64"/>
      <c r="M92" s="64"/>
      <c r="N92" s="64"/>
      <c r="O92" s="64"/>
    </row>
    <row r="93" spans="1:22" s="10" customFormat="1" ht="16.5" customHeight="1" x14ac:dyDescent="0.25">
      <c r="A93" s="9"/>
      <c r="B93" s="39"/>
      <c r="C93" s="44">
        <f>IF(DAY(MarSun1)=1,MarSun1+8,MarSun1+15)</f>
        <v>43535</v>
      </c>
      <c r="D93" s="38"/>
      <c r="E93" s="44">
        <f>IF(DAY(MarSun1)=1,MarSun1+9,MarSun1+16)</f>
        <v>43536</v>
      </c>
      <c r="F93" s="38"/>
      <c r="G93" s="44">
        <f>IF(DAY(MarSun1)=1,MarSun1+10,MarSun1+17)</f>
        <v>43537</v>
      </c>
      <c r="H93" s="38"/>
      <c r="I93" s="44">
        <f>IF(DAY(MarSun1)=1,MarSun1+11,MarSun1+18)</f>
        <v>43538</v>
      </c>
      <c r="J93" s="38"/>
      <c r="K93" s="44">
        <f>IF(DAY(MarSun1)=1,MarSun1+12,MarSun1+19)</f>
        <v>43539</v>
      </c>
      <c r="L93" s="38"/>
      <c r="M93" s="44">
        <f>IF(DAY(MarSun1)=1,MarSun1+13,MarSun1+20)</f>
        <v>43540</v>
      </c>
      <c r="N93" s="38"/>
      <c r="O93" s="44">
        <f>IF(DAY(MarSun1)=1,MarSun1+14,MarSun1+21)</f>
        <v>43541</v>
      </c>
    </row>
    <row r="94" spans="1:22" s="15" customFormat="1" ht="55.5" customHeight="1" x14ac:dyDescent="0.25">
      <c r="A94" s="6"/>
      <c r="B94" s="65"/>
      <c r="C94" s="66"/>
      <c r="D94" s="66"/>
      <c r="E94" s="66"/>
      <c r="F94" s="66"/>
      <c r="G94" s="66"/>
      <c r="H94" s="66"/>
      <c r="I94" s="66"/>
      <c r="J94" s="66"/>
      <c r="K94" s="66"/>
      <c r="L94" s="62"/>
      <c r="M94" s="62"/>
      <c r="N94" s="62"/>
      <c r="O94" s="62"/>
    </row>
    <row r="95" spans="1:22" s="15" customFormat="1" ht="8.25" customHeight="1" x14ac:dyDescent="0.25">
      <c r="A95" s="6"/>
      <c r="B95" s="63"/>
      <c r="C95" s="63"/>
      <c r="D95" s="63"/>
      <c r="E95" s="63"/>
      <c r="F95" s="63"/>
      <c r="G95" s="63"/>
      <c r="H95" s="63"/>
      <c r="I95" s="63"/>
      <c r="J95" s="63"/>
      <c r="K95" s="63"/>
      <c r="L95" s="64"/>
      <c r="M95" s="64"/>
      <c r="N95" s="64"/>
      <c r="O95" s="64"/>
    </row>
    <row r="96" spans="1:22" s="10" customFormat="1" ht="16.5" customHeight="1" x14ac:dyDescent="0.25">
      <c r="A96" s="9"/>
      <c r="B96" s="39"/>
      <c r="C96" s="44">
        <f>IF(DAY(MarSun1)=1,MarSun1+15,MarSun1+22)</f>
        <v>43542</v>
      </c>
      <c r="D96" s="38"/>
      <c r="E96" s="44">
        <f>IF(DAY(MarSun1)=1,MarSun1+16,MarSun1+23)</f>
        <v>43543</v>
      </c>
      <c r="F96" s="38"/>
      <c r="G96" s="44">
        <f>IF(DAY(MarSun1)=1,MarSun1+17,MarSun1+24)</f>
        <v>43544</v>
      </c>
      <c r="H96" s="38"/>
      <c r="I96" s="44">
        <f>IF(DAY(MarSun1)=1,MarSun1+18,MarSun1+25)</f>
        <v>43545</v>
      </c>
      <c r="J96" s="38"/>
      <c r="K96" s="44">
        <f>IF(DAY(MarSun1)=1,MarSun1+19,MarSun1+26)</f>
        <v>43546</v>
      </c>
      <c r="L96" s="38"/>
      <c r="M96" s="44">
        <f>IF(DAY(MarSun1)=1,MarSun1+20,MarSun1+27)</f>
        <v>43547</v>
      </c>
      <c r="N96" s="38"/>
      <c r="O96" s="44">
        <f>IF(DAY(MarSun1)=1,MarSun1+21,MarSun1+28)</f>
        <v>43548</v>
      </c>
    </row>
    <row r="97" spans="1:16" s="15" customFormat="1" ht="55.5" customHeight="1" x14ac:dyDescent="0.25">
      <c r="A97" s="6"/>
      <c r="B97" s="65"/>
      <c r="C97" s="66"/>
      <c r="D97" s="66"/>
      <c r="E97" s="66"/>
      <c r="F97" s="66"/>
      <c r="G97" s="66"/>
      <c r="H97" s="66"/>
      <c r="I97" s="66"/>
      <c r="J97" s="66"/>
      <c r="K97" s="66"/>
      <c r="L97" s="62"/>
      <c r="M97" s="62"/>
      <c r="N97" s="62"/>
      <c r="O97" s="62"/>
    </row>
    <row r="98" spans="1:16" s="15" customFormat="1" ht="8.25" customHeight="1" x14ac:dyDescent="0.25">
      <c r="A98" s="6"/>
      <c r="B98" s="63"/>
      <c r="C98" s="63"/>
      <c r="D98" s="63"/>
      <c r="E98" s="63"/>
      <c r="F98" s="63"/>
      <c r="G98" s="63"/>
      <c r="H98" s="63"/>
      <c r="I98" s="63"/>
      <c r="J98" s="63"/>
      <c r="K98" s="63"/>
      <c r="L98" s="64"/>
      <c r="M98" s="64"/>
      <c r="N98" s="64"/>
      <c r="O98" s="64"/>
    </row>
    <row r="99" spans="1:16" s="10" customFormat="1" ht="16.5" customHeight="1" x14ac:dyDescent="0.25">
      <c r="A99" s="9"/>
      <c r="B99" s="39"/>
      <c r="C99" s="44">
        <f>IF(DAY(MarSun1)=1,MarSun1+22,MarSun1+29)</f>
        <v>43549</v>
      </c>
      <c r="D99" s="38"/>
      <c r="E99" s="44">
        <f>IF(DAY(MarSun1)=1,MarSun1+23,MarSun1+30)</f>
        <v>43550</v>
      </c>
      <c r="F99" s="38"/>
      <c r="G99" s="44">
        <f>IF(DAY(MarSun1)=1,MarSun1+24,MarSun1+31)</f>
        <v>43551</v>
      </c>
      <c r="H99" s="38"/>
      <c r="I99" s="44">
        <f>IF(DAY(MarSun1)=1,MarSun1+25,MarSun1+32)</f>
        <v>43552</v>
      </c>
      <c r="J99" s="38"/>
      <c r="K99" s="44">
        <f>IF(DAY(MarSun1)=1,MarSun1+26,MarSun1+33)</f>
        <v>43553</v>
      </c>
      <c r="L99" s="38"/>
      <c r="M99" s="44">
        <f>IF(DAY(MarSun1)=1,MarSun1+27,MarSun1+34)</f>
        <v>43554</v>
      </c>
      <c r="N99" s="38"/>
      <c r="O99" s="44">
        <f>IF(DAY(MarSun1)=1,MarSun1+28,MarSun1+35)</f>
        <v>43555</v>
      </c>
    </row>
    <row r="100" spans="1:16" s="15" customFormat="1" ht="55.5" customHeight="1" x14ac:dyDescent="0.25">
      <c r="A100" s="6"/>
      <c r="B100" s="65"/>
      <c r="C100" s="66"/>
      <c r="D100" s="66"/>
      <c r="E100" s="66"/>
      <c r="F100" s="66"/>
      <c r="G100" s="66"/>
      <c r="H100" s="66"/>
      <c r="I100" s="66"/>
      <c r="J100" s="66"/>
      <c r="K100" s="66"/>
      <c r="L100" s="62"/>
      <c r="M100" s="62"/>
      <c r="N100" s="62"/>
      <c r="O100" s="62"/>
    </row>
    <row r="101" spans="1:16" s="15" customFormat="1" ht="8.25" customHeight="1" x14ac:dyDescent="0.25">
      <c r="A101" s="6"/>
      <c r="B101" s="63"/>
      <c r="C101" s="63"/>
      <c r="D101" s="63"/>
      <c r="E101" s="63"/>
      <c r="F101" s="63"/>
      <c r="G101" s="63"/>
      <c r="H101" s="63"/>
      <c r="I101" s="63"/>
      <c r="J101" s="63"/>
      <c r="K101" s="63"/>
      <c r="L101" s="64"/>
      <c r="M101" s="64"/>
      <c r="N101" s="64"/>
      <c r="O101" s="64"/>
    </row>
    <row r="102" spans="1:16" s="15" customFormat="1" ht="7.5" customHeight="1" x14ac:dyDescent="0.2">
      <c r="B102" s="40"/>
      <c r="C102" s="40"/>
      <c r="D102" s="40"/>
      <c r="E102" s="40"/>
      <c r="F102" s="40"/>
      <c r="G102" s="40"/>
      <c r="H102" s="40"/>
      <c r="I102" s="40"/>
      <c r="J102" s="40"/>
      <c r="K102" s="40"/>
      <c r="L102" s="40"/>
      <c r="M102" s="40"/>
      <c r="N102" s="40"/>
      <c r="O102" s="40"/>
    </row>
    <row r="103" spans="1:16" s="15" customFormat="1" x14ac:dyDescent="0.2"/>
    <row r="104" spans="1:16" s="15" customFormat="1" ht="54" customHeight="1" x14ac:dyDescent="0.2">
      <c r="A104" s="61" t="str">
        <f>TEXT(DATE(CalendarYear,4,1),"mmmm")</f>
        <v>April</v>
      </c>
      <c r="B104" s="61"/>
      <c r="C104" s="61"/>
      <c r="D104" s="61"/>
      <c r="E104" s="61"/>
      <c r="F104" s="61"/>
      <c r="G104" s="61"/>
      <c r="H104" s="13"/>
      <c r="I104" s="4"/>
      <c r="J104" s="4"/>
      <c r="L104" s="59">
        <f>CalendarYear</f>
        <v>2019</v>
      </c>
      <c r="M104" s="59"/>
      <c r="N104" s="59"/>
      <c r="O104" s="59"/>
      <c r="P104" s="59"/>
    </row>
    <row r="105" spans="1:16" s="15" customFormat="1" ht="18.95" customHeight="1" x14ac:dyDescent="0.35">
      <c r="A105" s="3"/>
      <c r="B105" s="1"/>
      <c r="C105" s="1"/>
      <c r="D105" s="1"/>
      <c r="E105" s="2"/>
      <c r="F105" s="2"/>
      <c r="G105" s="2"/>
      <c r="H105" s="4"/>
      <c r="I105" s="4"/>
      <c r="J105" s="4"/>
    </row>
    <row r="106" spans="1:16" s="15" customFormat="1" ht="18.95" customHeight="1" x14ac:dyDescent="0.35">
      <c r="A106" s="3"/>
      <c r="B106" s="1"/>
      <c r="C106" s="1"/>
      <c r="D106" s="1"/>
      <c r="E106" s="2"/>
      <c r="F106" s="2"/>
      <c r="G106" s="2"/>
      <c r="H106" s="4"/>
      <c r="I106" s="4"/>
      <c r="J106" s="4"/>
    </row>
    <row r="107" spans="1:16" s="15" customFormat="1" ht="18.95" customHeight="1" x14ac:dyDescent="0.35">
      <c r="A107" s="3"/>
      <c r="B107" s="1"/>
      <c r="C107" s="1"/>
      <c r="D107" s="1"/>
      <c r="E107" s="2"/>
      <c r="F107" s="2"/>
      <c r="G107" s="2"/>
      <c r="H107" s="4"/>
      <c r="I107" s="4"/>
      <c r="J107" s="4"/>
    </row>
    <row r="108" spans="1:16" s="15" customFormat="1" ht="18.95" customHeight="1" x14ac:dyDescent="0.35">
      <c r="A108" s="3"/>
      <c r="B108" s="1"/>
      <c r="C108" s="1"/>
      <c r="D108" s="1"/>
      <c r="E108" s="2"/>
      <c r="F108" s="2"/>
      <c r="G108" s="2"/>
      <c r="H108" s="4"/>
      <c r="I108" s="4"/>
      <c r="J108" s="4"/>
    </row>
    <row r="109" spans="1:16" s="15" customFormat="1" ht="18.95" customHeight="1" x14ac:dyDescent="0.35">
      <c r="A109" s="3"/>
      <c r="B109" s="1"/>
      <c r="C109" s="1"/>
      <c r="D109" s="1"/>
      <c r="E109" s="2"/>
      <c r="F109" s="2"/>
      <c r="G109" s="2"/>
      <c r="H109" s="4"/>
      <c r="I109" s="4"/>
      <c r="J109" s="4"/>
    </row>
    <row r="110" spans="1:16" s="15" customFormat="1" ht="18.95" customHeight="1" x14ac:dyDescent="0.35">
      <c r="A110" s="3"/>
      <c r="B110" s="1"/>
      <c r="C110" s="1"/>
      <c r="D110" s="1"/>
      <c r="E110" s="2"/>
      <c r="F110" s="2"/>
      <c r="G110" s="2"/>
      <c r="H110" s="4"/>
      <c r="I110" s="4"/>
      <c r="J110" s="4"/>
    </row>
    <row r="111" spans="1:16" s="15" customFormat="1" ht="18.95" customHeight="1" x14ac:dyDescent="0.35">
      <c r="A111" s="3"/>
      <c r="B111" s="1"/>
      <c r="C111" s="1"/>
      <c r="D111" s="1"/>
      <c r="E111" s="2"/>
      <c r="F111" s="2"/>
      <c r="G111" s="2"/>
      <c r="H111" s="4"/>
      <c r="I111" s="4"/>
      <c r="J111" s="4"/>
    </row>
    <row r="112" spans="1:16" s="15" customFormat="1" ht="18.95" customHeight="1" x14ac:dyDescent="0.35">
      <c r="A112" s="3"/>
      <c r="B112" s="1"/>
      <c r="C112" s="1"/>
      <c r="D112" s="1"/>
      <c r="E112" s="2"/>
      <c r="F112" s="2"/>
      <c r="G112" s="2"/>
      <c r="H112" s="4"/>
      <c r="I112" s="4"/>
      <c r="J112" s="4"/>
    </row>
    <row r="113" spans="1:22" s="15" customFormat="1" ht="18.95" customHeight="1" x14ac:dyDescent="0.35">
      <c r="A113" s="3"/>
      <c r="B113" s="1"/>
      <c r="C113" s="1"/>
      <c r="D113" s="1"/>
      <c r="E113" s="2"/>
      <c r="F113" s="2"/>
      <c r="G113" s="2"/>
      <c r="H113" s="4"/>
      <c r="I113" s="4"/>
      <c r="J113" s="4"/>
    </row>
    <row r="114" spans="1:22" s="15" customFormat="1" ht="18.95" customHeight="1" x14ac:dyDescent="0.35">
      <c r="A114" s="3"/>
      <c r="B114" s="1"/>
      <c r="C114" s="1"/>
      <c r="D114" s="1"/>
      <c r="E114" s="2"/>
      <c r="F114" s="2"/>
      <c r="G114" s="2"/>
      <c r="H114" s="4"/>
      <c r="I114" s="4"/>
      <c r="J114" s="4"/>
    </row>
    <row r="115" spans="1:22" s="15" customFormat="1" ht="18.95" customHeight="1" x14ac:dyDescent="0.35">
      <c r="A115" s="3"/>
      <c r="B115" s="1"/>
      <c r="C115" s="1"/>
      <c r="D115" s="1"/>
      <c r="E115" s="2"/>
      <c r="F115" s="2"/>
      <c r="G115" s="2"/>
      <c r="H115" s="4"/>
      <c r="I115" s="4"/>
      <c r="J115" s="4"/>
    </row>
    <row r="116" spans="1:22" s="15" customFormat="1" ht="18.95" customHeight="1" x14ac:dyDescent="0.35">
      <c r="A116" s="3"/>
      <c r="B116" s="1"/>
      <c r="C116" s="1"/>
      <c r="D116" s="1"/>
      <c r="E116" s="2"/>
      <c r="F116" s="2"/>
      <c r="G116" s="2"/>
      <c r="H116" s="4"/>
      <c r="I116" s="4"/>
      <c r="J116" s="4"/>
    </row>
    <row r="117" spans="1:22" s="15" customFormat="1" ht="18.95" customHeight="1" x14ac:dyDescent="0.35">
      <c r="A117" s="3"/>
      <c r="B117" s="1"/>
      <c r="C117" s="1"/>
      <c r="D117" s="1"/>
      <c r="E117" s="2"/>
      <c r="F117" s="2"/>
      <c r="G117" s="2"/>
      <c r="H117" s="4"/>
      <c r="I117" s="4"/>
      <c r="J117" s="4"/>
    </row>
    <row r="118" spans="1:22" s="15" customFormat="1" ht="18.95" customHeight="1" x14ac:dyDescent="0.35">
      <c r="A118" s="3"/>
      <c r="B118" s="1"/>
      <c r="C118" s="1"/>
      <c r="D118" s="1"/>
      <c r="E118" s="2"/>
      <c r="F118" s="2"/>
      <c r="G118" s="2"/>
      <c r="H118" s="4"/>
      <c r="I118" s="4"/>
      <c r="J118" s="4"/>
    </row>
    <row r="119" spans="1:22" s="15" customFormat="1" ht="18.95" customHeight="1" x14ac:dyDescent="0.25">
      <c r="A119" s="6"/>
      <c r="B119" s="7"/>
      <c r="C119" s="7"/>
      <c r="D119" s="7"/>
      <c r="E119" s="7"/>
      <c r="F119" s="7"/>
      <c r="G119" s="7"/>
      <c r="H119" s="7"/>
      <c r="I119" s="7"/>
      <c r="J119" s="7"/>
      <c r="K119" s="7"/>
      <c r="L119" s="7"/>
      <c r="M119" s="7"/>
      <c r="N119" s="7"/>
      <c r="O119" s="7"/>
    </row>
    <row r="120" spans="1:22" s="6" customFormat="1" ht="27" customHeight="1" x14ac:dyDescent="0.25">
      <c r="B120" s="60" t="s">
        <v>0</v>
      </c>
      <c r="C120" s="60"/>
      <c r="D120" s="60" t="s">
        <v>1</v>
      </c>
      <c r="E120" s="60"/>
      <c r="F120" s="60" t="s">
        <v>2</v>
      </c>
      <c r="G120" s="60"/>
      <c r="H120" s="60" t="s">
        <v>3</v>
      </c>
      <c r="I120" s="60"/>
      <c r="J120" s="60" t="s">
        <v>4</v>
      </c>
      <c r="K120" s="60"/>
      <c r="L120" s="60" t="s">
        <v>5</v>
      </c>
      <c r="M120" s="60"/>
      <c r="N120" s="60" t="s">
        <v>6</v>
      </c>
      <c r="O120" s="60"/>
      <c r="P120" s="15"/>
      <c r="Q120" s="8"/>
      <c r="U120" s="15"/>
      <c r="V120" s="15"/>
    </row>
    <row r="121" spans="1:22" s="9" customFormat="1" ht="16.5" customHeight="1" x14ac:dyDescent="0.25">
      <c r="B121" s="37"/>
      <c r="C121" s="44">
        <f>IF(DAY(AprSun1)=1,AprSun1-6,AprSun1+1)</f>
        <v>43556</v>
      </c>
      <c r="D121" s="38"/>
      <c r="E121" s="44">
        <f>IF(DAY(AprSun1)=1,AprSun1-5,AprSun1+2)</f>
        <v>43557</v>
      </c>
      <c r="F121" s="38"/>
      <c r="G121" s="44">
        <f>IF(DAY(AprSun1)=1,AprSun1-4,AprSun1+3)</f>
        <v>43558</v>
      </c>
      <c r="H121" s="38"/>
      <c r="I121" s="44">
        <f>IF(DAY(AprSun1)=1,AprSun1-3,AprSun1+4)</f>
        <v>43559</v>
      </c>
      <c r="J121" s="38"/>
      <c r="K121" s="44">
        <f>IF(DAY(AprSun1)=1,AprSun1-2,AprSun1+5)</f>
        <v>43560</v>
      </c>
      <c r="L121" s="38"/>
      <c r="M121" s="44">
        <f>IF(DAY(AprSun1)=1,AprSun1-1,AprSun1+6)</f>
        <v>43561</v>
      </c>
      <c r="N121" s="38"/>
      <c r="O121" s="44">
        <f>IF(DAY(AprSun1)=1,AprSun1,AprSun1+7)</f>
        <v>43562</v>
      </c>
      <c r="P121" s="10"/>
      <c r="Q121" s="10"/>
      <c r="U121" s="11"/>
      <c r="V121" s="10"/>
    </row>
    <row r="122" spans="1:22" s="12" customFormat="1" ht="55.5" customHeight="1" x14ac:dyDescent="0.25">
      <c r="A122" s="6"/>
      <c r="B122" s="65"/>
      <c r="C122" s="66"/>
      <c r="D122" s="66"/>
      <c r="E122" s="66"/>
      <c r="F122" s="66"/>
      <c r="G122" s="66"/>
      <c r="H122" s="66"/>
      <c r="I122" s="66"/>
      <c r="J122" s="66"/>
      <c r="K122" s="66"/>
      <c r="L122" s="62"/>
      <c r="M122" s="62"/>
      <c r="N122" s="62"/>
      <c r="O122" s="62"/>
    </row>
    <row r="123" spans="1:22" s="12" customFormat="1" ht="8.25" customHeight="1" x14ac:dyDescent="0.25">
      <c r="A123" s="6"/>
      <c r="B123" s="63"/>
      <c r="C123" s="63"/>
      <c r="D123" s="63"/>
      <c r="E123" s="63"/>
      <c r="F123" s="63"/>
      <c r="G123" s="63"/>
      <c r="H123" s="63"/>
      <c r="I123" s="63"/>
      <c r="J123" s="63"/>
      <c r="K123" s="63"/>
      <c r="L123" s="64"/>
      <c r="M123" s="64"/>
      <c r="N123" s="64"/>
      <c r="O123" s="64"/>
    </row>
    <row r="124" spans="1:22" s="10" customFormat="1" ht="16.5" customHeight="1" x14ac:dyDescent="0.25">
      <c r="A124" s="9"/>
      <c r="B124" s="39"/>
      <c r="C124" s="44">
        <f>IF(DAY(AprSun1)=1,AprSun1+1,AprSun1+8)</f>
        <v>43563</v>
      </c>
      <c r="D124" s="38"/>
      <c r="E124" s="44">
        <f>IF(DAY(AprSun1)=1,AprSun1+2,AprSun1+9)</f>
        <v>43564</v>
      </c>
      <c r="F124" s="38"/>
      <c r="G124" s="45">
        <f>IF(DAY(AprSun1)=1,AprSun1+3,AprSun1+10)</f>
        <v>43565</v>
      </c>
      <c r="H124" s="38"/>
      <c r="I124" s="44">
        <f>IF(DAY(AprSun1)=1,AprSun1+4,AprSun1+11)</f>
        <v>43566</v>
      </c>
      <c r="J124" s="38"/>
      <c r="K124" s="44">
        <f>IF(DAY(AprSun1)=1,AprSun1+5,AprSun1+12)</f>
        <v>43567</v>
      </c>
      <c r="L124" s="38"/>
      <c r="M124" s="44">
        <f>IF(DAY(AprSun1)=1,AprSun1+6,AprSun1+13)</f>
        <v>43568</v>
      </c>
      <c r="N124" s="38"/>
      <c r="O124" s="44">
        <f>IF(DAY(AprSun1)=1,AprSun1+7,AprSun1+14)</f>
        <v>43569</v>
      </c>
    </row>
    <row r="125" spans="1:22" s="15" customFormat="1" ht="55.5" customHeight="1" x14ac:dyDescent="0.25">
      <c r="A125" s="6"/>
      <c r="B125" s="65"/>
      <c r="C125" s="66"/>
      <c r="D125" s="66"/>
      <c r="E125" s="66"/>
      <c r="F125" s="66" t="s">
        <v>7</v>
      </c>
      <c r="G125" s="66"/>
      <c r="H125" s="66"/>
      <c r="I125" s="66"/>
      <c r="J125" s="66"/>
      <c r="K125" s="66"/>
      <c r="L125" s="62"/>
      <c r="M125" s="62"/>
      <c r="N125" s="62"/>
      <c r="O125" s="62"/>
    </row>
    <row r="126" spans="1:22" s="15" customFormat="1" ht="8.25" customHeight="1" x14ac:dyDescent="0.25">
      <c r="A126" s="6"/>
      <c r="B126" s="63"/>
      <c r="C126" s="63"/>
      <c r="D126" s="63"/>
      <c r="E126" s="63"/>
      <c r="F126" s="63"/>
      <c r="G126" s="63"/>
      <c r="H126" s="63"/>
      <c r="I126" s="63"/>
      <c r="J126" s="63"/>
      <c r="K126" s="63"/>
      <c r="L126" s="64"/>
      <c r="M126" s="64"/>
      <c r="N126" s="64"/>
      <c r="O126" s="64"/>
    </row>
    <row r="127" spans="1:22" s="10" customFormat="1" ht="16.5" customHeight="1" x14ac:dyDescent="0.25">
      <c r="A127" s="9"/>
      <c r="B127" s="39"/>
      <c r="C127" s="44">
        <f>IF(DAY(AprSun1)=1,AprSun1+8,AprSun1+15)</f>
        <v>43570</v>
      </c>
      <c r="D127" s="38"/>
      <c r="E127" s="44">
        <f>IF(DAY(AprSun1)=1,AprSun1+9,AprSun1+16)</f>
        <v>43571</v>
      </c>
      <c r="F127" s="38"/>
      <c r="G127" s="44">
        <f>IF(DAY(AprSun1)=1,AprSun1+10,AprSun1+17)</f>
        <v>43572</v>
      </c>
      <c r="H127" s="38"/>
      <c r="I127" s="44">
        <f>IF(DAY(AprSun1)=1,AprSun1+11,AprSun1+18)</f>
        <v>43573</v>
      </c>
      <c r="J127" s="38"/>
      <c r="K127" s="44">
        <f>IF(DAY(AprSun1)=1,AprSun1+12,AprSun1+19)</f>
        <v>43574</v>
      </c>
      <c r="L127" s="38"/>
      <c r="M127" s="44">
        <f>IF(DAY(AprSun1)=1,AprSun1+13,AprSun1+20)</f>
        <v>43575</v>
      </c>
      <c r="N127" s="38"/>
      <c r="O127" s="44">
        <f>IF(DAY(AprSun1)=1,AprSun1+14,AprSun1+21)</f>
        <v>43576</v>
      </c>
    </row>
    <row r="128" spans="1:22" s="15" customFormat="1" ht="55.5" customHeight="1" x14ac:dyDescent="0.25">
      <c r="A128" s="6"/>
      <c r="B128" s="65"/>
      <c r="C128" s="66"/>
      <c r="D128" s="66"/>
      <c r="E128" s="66"/>
      <c r="F128" s="66"/>
      <c r="G128" s="66"/>
      <c r="H128" s="66"/>
      <c r="I128" s="66"/>
      <c r="J128" s="66"/>
      <c r="K128" s="66"/>
      <c r="L128" s="62"/>
      <c r="M128" s="62"/>
      <c r="N128" s="62"/>
      <c r="O128" s="62"/>
    </row>
    <row r="129" spans="1:16" s="15" customFormat="1" ht="8.25" customHeight="1" x14ac:dyDescent="0.25">
      <c r="A129" s="6"/>
      <c r="B129" s="63"/>
      <c r="C129" s="63"/>
      <c r="D129" s="63"/>
      <c r="E129" s="63"/>
      <c r="F129" s="63"/>
      <c r="G129" s="63"/>
      <c r="H129" s="63"/>
      <c r="I129" s="63"/>
      <c r="J129" s="63"/>
      <c r="K129" s="63"/>
      <c r="L129" s="64"/>
      <c r="M129" s="64"/>
      <c r="N129" s="64"/>
      <c r="O129" s="64"/>
    </row>
    <row r="130" spans="1:16" s="10" customFormat="1" ht="16.5" customHeight="1" x14ac:dyDescent="0.25">
      <c r="A130" s="9"/>
      <c r="B130" s="39"/>
      <c r="C130" s="44">
        <f>IF(DAY(AprSun1)=1,AprSun1+15,AprSun1+22)</f>
        <v>43577</v>
      </c>
      <c r="D130" s="38"/>
      <c r="E130" s="44">
        <f>IF(DAY(AprSun1)=1,AprSun1+16,AprSun1+23)</f>
        <v>43578</v>
      </c>
      <c r="F130" s="38"/>
      <c r="G130" s="44">
        <f>IF(DAY(AprSun1)=1,AprSun1+17,AprSun1+24)</f>
        <v>43579</v>
      </c>
      <c r="H130" s="38"/>
      <c r="I130" s="44">
        <f>IF(DAY(AprSun1)=1,AprSun1+18,AprSun1+25)</f>
        <v>43580</v>
      </c>
      <c r="J130" s="38"/>
      <c r="K130" s="44">
        <f>IF(DAY(AprSun1)=1,AprSun1+19,AprSun1+26)</f>
        <v>43581</v>
      </c>
      <c r="L130" s="38"/>
      <c r="M130" s="44">
        <f>IF(DAY(AprSun1)=1,AprSun1+20,AprSun1+27)</f>
        <v>43582</v>
      </c>
      <c r="N130" s="38"/>
      <c r="O130" s="44">
        <f>IF(DAY(AprSun1)=1,AprSun1+21,AprSun1+28)</f>
        <v>43583</v>
      </c>
    </row>
    <row r="131" spans="1:16" s="15" customFormat="1" ht="55.5" customHeight="1" x14ac:dyDescent="0.25">
      <c r="A131" s="6"/>
      <c r="B131" s="65"/>
      <c r="C131" s="66"/>
      <c r="D131" s="66"/>
      <c r="E131" s="66"/>
      <c r="F131" s="66"/>
      <c r="G131" s="66"/>
      <c r="H131" s="66"/>
      <c r="I131" s="66"/>
      <c r="J131" s="66"/>
      <c r="K131" s="66"/>
      <c r="L131" s="62"/>
      <c r="M131" s="62"/>
      <c r="N131" s="62"/>
      <c r="O131" s="62"/>
    </row>
    <row r="132" spans="1:16" s="15" customFormat="1" ht="8.25" customHeight="1" x14ac:dyDescent="0.25">
      <c r="A132" s="6"/>
      <c r="B132" s="63"/>
      <c r="C132" s="63"/>
      <c r="D132" s="63"/>
      <c r="E132" s="63"/>
      <c r="F132" s="63"/>
      <c r="G132" s="63"/>
      <c r="H132" s="63"/>
      <c r="I132" s="63"/>
      <c r="J132" s="63"/>
      <c r="K132" s="63"/>
      <c r="L132" s="64"/>
      <c r="M132" s="64"/>
      <c r="N132" s="64"/>
      <c r="O132" s="64"/>
    </row>
    <row r="133" spans="1:16" s="10" customFormat="1" ht="16.5" customHeight="1" x14ac:dyDescent="0.25">
      <c r="A133" s="9"/>
      <c r="B133" s="39"/>
      <c r="C133" s="44">
        <f>IF(DAY(AprSun1)=1,AprSun1+22,AprSun1+29)</f>
        <v>43584</v>
      </c>
      <c r="D133" s="38"/>
      <c r="E133" s="44">
        <f>IF(DAY(AprSun1)=1,AprSun1+23,AprSun1+30)</f>
        <v>43585</v>
      </c>
      <c r="F133" s="38"/>
      <c r="G133" s="21">
        <f>IF(DAY(AprSun1)=1,AprSun1+24,AprSun1+31)</f>
        <v>43586</v>
      </c>
      <c r="H133" s="38"/>
      <c r="I133" s="21">
        <f>IF(DAY(AprSun1)=1,AprSun1+25,AprSun1+32)</f>
        <v>43587</v>
      </c>
      <c r="J133" s="38"/>
      <c r="K133" s="21">
        <f>IF(DAY(AprSun1)=1,AprSun1+26,AprSun1+33)</f>
        <v>43588</v>
      </c>
      <c r="L133" s="38"/>
      <c r="M133" s="21">
        <f>IF(DAY(AprSun1)=1,AprSun1+27,AprSun1+34)</f>
        <v>43589</v>
      </c>
      <c r="N133" s="38"/>
      <c r="O133" s="21">
        <f>IF(DAY(AprSun1)=1,AprSun1+28,AprSun1+35)</f>
        <v>43590</v>
      </c>
    </row>
    <row r="134" spans="1:16" s="15" customFormat="1" ht="55.5" customHeight="1" x14ac:dyDescent="0.25">
      <c r="A134" s="6"/>
      <c r="B134" s="65"/>
      <c r="C134" s="66"/>
      <c r="D134" s="66"/>
      <c r="E134" s="66"/>
      <c r="F134" s="66"/>
      <c r="G134" s="66"/>
      <c r="H134" s="66"/>
      <c r="I134" s="66"/>
      <c r="J134" s="66"/>
      <c r="K134" s="66"/>
      <c r="L134" s="62"/>
      <c r="M134" s="62"/>
      <c r="N134" s="62"/>
      <c r="O134" s="62"/>
    </row>
    <row r="135" spans="1:16" s="15" customFormat="1" ht="8.25" customHeight="1" x14ac:dyDescent="0.25">
      <c r="A135" s="6"/>
      <c r="B135" s="63"/>
      <c r="C135" s="63"/>
      <c r="D135" s="63"/>
      <c r="E135" s="63"/>
      <c r="F135" s="63"/>
      <c r="G135" s="63"/>
      <c r="H135" s="63"/>
      <c r="I135" s="63"/>
      <c r="J135" s="63"/>
      <c r="K135" s="63"/>
      <c r="L135" s="64"/>
      <c r="M135" s="64"/>
      <c r="N135" s="64"/>
      <c r="O135" s="64"/>
    </row>
    <row r="136" spans="1:16" s="15" customFormat="1" ht="7.5" customHeight="1" x14ac:dyDescent="0.2"/>
    <row r="137" spans="1:16" s="15" customFormat="1" ht="14.25" customHeight="1" x14ac:dyDescent="0.2"/>
    <row r="138" spans="1:16" s="15" customFormat="1" ht="54" customHeight="1" x14ac:dyDescent="0.2">
      <c r="A138" s="69" t="str">
        <f>TEXT(DATE(CalendarYear,5,1),"mmmm")</f>
        <v>May</v>
      </c>
      <c r="B138" s="69"/>
      <c r="C138" s="69"/>
      <c r="D138" s="69"/>
      <c r="E138" s="69"/>
      <c r="F138" s="69"/>
      <c r="G138" s="69"/>
      <c r="H138" s="13"/>
      <c r="I138" s="4"/>
      <c r="J138" s="4"/>
      <c r="L138" s="67">
        <f>CalendarYear</f>
        <v>2019</v>
      </c>
      <c r="M138" s="67"/>
      <c r="N138" s="67"/>
      <c r="O138" s="67"/>
      <c r="P138" s="67"/>
    </row>
    <row r="139" spans="1:16" s="15" customFormat="1" ht="18.95" customHeight="1" x14ac:dyDescent="0.35">
      <c r="A139" s="3"/>
      <c r="B139" s="1"/>
      <c r="C139" s="1"/>
      <c r="D139" s="1"/>
      <c r="E139" s="2"/>
      <c r="F139" s="2"/>
      <c r="G139" s="2"/>
      <c r="H139" s="4"/>
      <c r="I139" s="4"/>
      <c r="J139" s="4"/>
    </row>
    <row r="140" spans="1:16" s="15" customFormat="1" ht="18.95" customHeight="1" x14ac:dyDescent="0.35">
      <c r="A140" s="3"/>
      <c r="B140" s="1"/>
      <c r="C140" s="1"/>
      <c r="D140" s="1"/>
      <c r="E140" s="2"/>
      <c r="F140" s="2"/>
      <c r="G140" s="2"/>
      <c r="H140" s="4"/>
      <c r="I140" s="4"/>
      <c r="J140" s="4"/>
    </row>
    <row r="141" spans="1:16" s="15" customFormat="1" ht="18.95" customHeight="1" x14ac:dyDescent="0.35">
      <c r="A141" s="3"/>
      <c r="B141" s="1"/>
      <c r="C141" s="1"/>
      <c r="D141" s="1"/>
      <c r="E141" s="2"/>
      <c r="F141" s="2"/>
      <c r="G141" s="2"/>
      <c r="H141" s="4"/>
      <c r="I141" s="4"/>
      <c r="J141" s="4"/>
    </row>
    <row r="142" spans="1:16" s="15" customFormat="1" ht="18.95" customHeight="1" x14ac:dyDescent="0.35">
      <c r="A142" s="3"/>
      <c r="B142" s="1"/>
      <c r="C142" s="1"/>
      <c r="D142" s="1"/>
      <c r="E142" s="2"/>
      <c r="F142" s="2"/>
      <c r="G142" s="2"/>
      <c r="H142" s="4"/>
      <c r="I142" s="4"/>
      <c r="J142" s="4"/>
    </row>
    <row r="143" spans="1:16" s="15" customFormat="1" ht="18.95" customHeight="1" x14ac:dyDescent="0.35">
      <c r="A143" s="3"/>
      <c r="B143" s="1"/>
      <c r="C143" s="1"/>
      <c r="D143" s="1"/>
      <c r="E143" s="2"/>
      <c r="F143" s="2"/>
      <c r="G143" s="2"/>
      <c r="H143" s="4"/>
      <c r="I143" s="4"/>
      <c r="J143" s="4"/>
    </row>
    <row r="144" spans="1:16" s="15" customFormat="1" ht="18.95" customHeight="1" x14ac:dyDescent="0.35">
      <c r="A144" s="3"/>
      <c r="B144" s="1"/>
      <c r="C144" s="1"/>
      <c r="D144" s="1"/>
      <c r="E144" s="2"/>
      <c r="F144" s="2"/>
      <c r="G144" s="2"/>
      <c r="H144" s="4"/>
      <c r="I144" s="4"/>
      <c r="J144" s="4"/>
    </row>
    <row r="145" spans="1:22" s="15" customFormat="1" ht="18.95" customHeight="1" x14ac:dyDescent="0.35">
      <c r="A145" s="3"/>
      <c r="B145" s="1"/>
      <c r="C145" s="1"/>
      <c r="D145" s="1"/>
      <c r="E145" s="2"/>
      <c r="F145" s="2"/>
      <c r="G145" s="2"/>
      <c r="H145" s="4"/>
      <c r="I145" s="4"/>
      <c r="J145" s="4"/>
    </row>
    <row r="146" spans="1:22" s="15" customFormat="1" ht="18.95" customHeight="1" x14ac:dyDescent="0.35">
      <c r="A146" s="3"/>
      <c r="B146" s="1"/>
      <c r="C146" s="1"/>
      <c r="D146" s="1"/>
      <c r="E146" s="2"/>
      <c r="F146" s="2"/>
      <c r="G146" s="2"/>
      <c r="H146" s="4"/>
      <c r="I146" s="4"/>
      <c r="J146" s="4"/>
    </row>
    <row r="147" spans="1:22" s="15" customFormat="1" ht="18.95" customHeight="1" x14ac:dyDescent="0.35">
      <c r="A147" s="3"/>
      <c r="B147" s="1"/>
      <c r="C147" s="1"/>
      <c r="D147" s="1"/>
      <c r="E147" s="2"/>
      <c r="F147" s="2"/>
      <c r="G147" s="2"/>
      <c r="H147" s="4"/>
      <c r="I147" s="4"/>
      <c r="J147" s="4"/>
    </row>
    <row r="148" spans="1:22" s="15" customFormat="1" ht="18.95" customHeight="1" x14ac:dyDescent="0.35">
      <c r="A148" s="3"/>
      <c r="B148" s="1"/>
      <c r="C148" s="1"/>
      <c r="D148" s="1"/>
      <c r="E148" s="2"/>
      <c r="F148" s="2"/>
      <c r="G148" s="2"/>
      <c r="H148" s="4"/>
      <c r="I148" s="4"/>
      <c r="J148" s="4"/>
    </row>
    <row r="149" spans="1:22" s="15" customFormat="1" ht="18.95" customHeight="1" x14ac:dyDescent="0.35">
      <c r="A149" s="3"/>
      <c r="B149" s="1"/>
      <c r="C149" s="1"/>
      <c r="D149" s="1"/>
      <c r="E149" s="2"/>
      <c r="F149" s="2"/>
      <c r="G149" s="2"/>
      <c r="H149" s="4"/>
      <c r="I149" s="4"/>
      <c r="J149" s="4"/>
    </row>
    <row r="150" spans="1:22" s="15" customFormat="1" ht="18.95" customHeight="1" x14ac:dyDescent="0.35">
      <c r="A150" s="3"/>
      <c r="B150" s="1"/>
      <c r="C150" s="1"/>
      <c r="D150" s="1"/>
      <c r="E150" s="2"/>
      <c r="F150" s="2"/>
      <c r="G150" s="2"/>
      <c r="H150" s="4"/>
      <c r="I150" s="4"/>
      <c r="J150" s="4"/>
    </row>
    <row r="151" spans="1:22" s="15" customFormat="1" ht="18.95" customHeight="1" x14ac:dyDescent="0.35">
      <c r="A151" s="3"/>
      <c r="B151" s="1"/>
      <c r="C151" s="1"/>
      <c r="D151" s="1"/>
      <c r="E151" s="2"/>
      <c r="F151" s="2"/>
      <c r="G151" s="2"/>
      <c r="H151" s="4"/>
      <c r="I151" s="4"/>
      <c r="J151" s="4"/>
    </row>
    <row r="152" spans="1:22" s="15" customFormat="1" ht="18.95" customHeight="1" x14ac:dyDescent="0.35">
      <c r="A152" s="3"/>
      <c r="B152" s="1"/>
      <c r="C152" s="1"/>
      <c r="D152" s="1"/>
      <c r="E152" s="2"/>
      <c r="F152" s="2"/>
      <c r="G152" s="2"/>
      <c r="H152" s="4"/>
      <c r="I152" s="4"/>
      <c r="J152" s="4"/>
    </row>
    <row r="153" spans="1:22" s="15" customFormat="1" ht="18.95" customHeight="1" x14ac:dyDescent="0.25">
      <c r="A153" s="6"/>
      <c r="B153" s="7"/>
      <c r="C153" s="7"/>
      <c r="D153" s="7"/>
      <c r="E153" s="7"/>
      <c r="F153" s="7"/>
      <c r="G153" s="7"/>
      <c r="H153" s="7"/>
      <c r="I153" s="7"/>
      <c r="J153" s="7"/>
      <c r="K153" s="7"/>
      <c r="L153" s="7"/>
      <c r="M153" s="7"/>
      <c r="N153" s="7"/>
      <c r="O153" s="7"/>
    </row>
    <row r="154" spans="1:22" s="6" customFormat="1" ht="27" customHeight="1" x14ac:dyDescent="0.25">
      <c r="B154" s="68" t="s">
        <v>0</v>
      </c>
      <c r="C154" s="68"/>
      <c r="D154" s="68" t="s">
        <v>1</v>
      </c>
      <c r="E154" s="68"/>
      <c r="F154" s="68" t="s">
        <v>2</v>
      </c>
      <c r="G154" s="68"/>
      <c r="H154" s="68" t="s">
        <v>3</v>
      </c>
      <c r="I154" s="68"/>
      <c r="J154" s="68" t="s">
        <v>4</v>
      </c>
      <c r="K154" s="68"/>
      <c r="L154" s="68" t="s">
        <v>5</v>
      </c>
      <c r="M154" s="68"/>
      <c r="N154" s="68" t="s">
        <v>6</v>
      </c>
      <c r="O154" s="68"/>
      <c r="P154" s="15"/>
      <c r="Q154" s="8"/>
      <c r="U154" s="15"/>
      <c r="V154" s="15"/>
    </row>
    <row r="155" spans="1:22" s="9" customFormat="1" ht="16.5" customHeight="1" x14ac:dyDescent="0.25">
      <c r="B155" s="37"/>
      <c r="C155" s="21">
        <f>IF(DAY(MaySun1)=1,MaySun1-6,MaySun1+1)</f>
        <v>43584</v>
      </c>
      <c r="D155" s="38"/>
      <c r="E155" s="21">
        <f>IF(DAY(MaySun1)=1,MaySun1-5,MaySun1+2)</f>
        <v>43585</v>
      </c>
      <c r="F155" s="38"/>
      <c r="G155" s="44">
        <f>IF(DAY(MaySun1)=1,MaySun1-4,MaySun1+3)</f>
        <v>43586</v>
      </c>
      <c r="H155" s="38"/>
      <c r="I155" s="44">
        <f>IF(DAY(MaySun1)=1,MaySun1-3,MaySun1+4)</f>
        <v>43587</v>
      </c>
      <c r="J155" s="38"/>
      <c r="K155" s="44">
        <f>IF(DAY(MaySun1)=1,MaySun1-2,MaySun1+5)</f>
        <v>43588</v>
      </c>
      <c r="L155" s="38"/>
      <c r="M155" s="44">
        <f>IF(DAY(MaySun1)=1,MaySun1-1,MaySun1+6)</f>
        <v>43589</v>
      </c>
      <c r="N155" s="38"/>
      <c r="O155" s="44">
        <f>IF(DAY(MaySun1)=1,MaySun1,MaySun1+7)</f>
        <v>43590</v>
      </c>
      <c r="P155" s="10"/>
      <c r="Q155" s="10"/>
      <c r="U155" s="11"/>
      <c r="V155" s="10"/>
    </row>
    <row r="156" spans="1:22" s="12" customFormat="1" ht="55.5" customHeight="1" x14ac:dyDescent="0.25">
      <c r="A156" s="6"/>
      <c r="B156" s="65"/>
      <c r="C156" s="66"/>
      <c r="D156" s="66"/>
      <c r="E156" s="66"/>
      <c r="F156" s="66"/>
      <c r="G156" s="66"/>
      <c r="H156" s="66"/>
      <c r="I156" s="66"/>
      <c r="J156" s="66"/>
      <c r="K156" s="66"/>
      <c r="L156" s="62"/>
      <c r="M156" s="62"/>
      <c r="N156" s="62"/>
      <c r="O156" s="62"/>
    </row>
    <row r="157" spans="1:22" s="12" customFormat="1" ht="8.25" customHeight="1" x14ac:dyDescent="0.25">
      <c r="A157" s="6"/>
      <c r="B157" s="63"/>
      <c r="C157" s="63"/>
      <c r="D157" s="63"/>
      <c r="E157" s="63"/>
      <c r="F157" s="63"/>
      <c r="G157" s="63"/>
      <c r="H157" s="63"/>
      <c r="I157" s="63"/>
      <c r="J157" s="63"/>
      <c r="K157" s="63"/>
      <c r="L157" s="64"/>
      <c r="M157" s="64"/>
      <c r="N157" s="64"/>
      <c r="O157" s="64"/>
    </row>
    <row r="158" spans="1:22" s="10" customFormat="1" ht="16.5" customHeight="1" x14ac:dyDescent="0.25">
      <c r="A158" s="9"/>
      <c r="B158" s="39"/>
      <c r="C158" s="44">
        <f>IF(DAY(MaySun1)=1,MaySun1+1,MaySun1+8)</f>
        <v>43591</v>
      </c>
      <c r="D158" s="38"/>
      <c r="E158" s="44">
        <f>IF(DAY(MaySun1)=1,MaySun1+2,MaySun1+9)</f>
        <v>43592</v>
      </c>
      <c r="F158" s="38"/>
      <c r="G158" s="21">
        <f>IF(DAY(MaySun1)=1,MaySun1+3,MaySun1+10)</f>
        <v>43593</v>
      </c>
      <c r="H158" s="38"/>
      <c r="I158" s="44">
        <f>IF(DAY(MaySun1)=1,MaySun1+4,MaySun1+11)</f>
        <v>43594</v>
      </c>
      <c r="J158" s="38"/>
      <c r="K158" s="44">
        <f>IF(DAY(MaySun1)=1,MaySun1+5,MaySun1+12)</f>
        <v>43595</v>
      </c>
      <c r="L158" s="38"/>
      <c r="M158" s="44">
        <f>IF(DAY(MaySun1)=1,MaySun1+6,MaySun1+13)</f>
        <v>43596</v>
      </c>
      <c r="N158" s="38"/>
      <c r="O158" s="44">
        <f>IF(DAY(MaySun1)=1,MaySun1+7,MaySun1+14)</f>
        <v>43597</v>
      </c>
    </row>
    <row r="159" spans="1:22" s="15" customFormat="1" ht="55.5" customHeight="1" x14ac:dyDescent="0.25">
      <c r="A159" s="6"/>
      <c r="B159" s="65"/>
      <c r="C159" s="66"/>
      <c r="D159" s="66"/>
      <c r="E159" s="66"/>
      <c r="F159" s="66" t="s">
        <v>7</v>
      </c>
      <c r="G159" s="66"/>
      <c r="H159" s="66"/>
      <c r="I159" s="66"/>
      <c r="J159" s="66"/>
      <c r="K159" s="66"/>
      <c r="L159" s="62"/>
      <c r="M159" s="62"/>
      <c r="N159" s="62"/>
      <c r="O159" s="62"/>
    </row>
    <row r="160" spans="1:22" s="15" customFormat="1" ht="8.25" customHeight="1" x14ac:dyDescent="0.25">
      <c r="A160" s="6"/>
      <c r="B160" s="63"/>
      <c r="C160" s="63"/>
      <c r="D160" s="63"/>
      <c r="E160" s="63"/>
      <c r="F160" s="63"/>
      <c r="G160" s="63"/>
      <c r="H160" s="63"/>
      <c r="I160" s="63"/>
      <c r="J160" s="63"/>
      <c r="K160" s="63"/>
      <c r="L160" s="64"/>
      <c r="M160" s="64"/>
      <c r="N160" s="64"/>
      <c r="O160" s="64"/>
    </row>
    <row r="161" spans="1:16" s="10" customFormat="1" ht="16.5" customHeight="1" x14ac:dyDescent="0.25">
      <c r="A161" s="9"/>
      <c r="B161" s="39"/>
      <c r="C161" s="44">
        <f>IF(DAY(MaySun1)=1,MaySun1+8,MaySun1+15)</f>
        <v>43598</v>
      </c>
      <c r="D161" s="38"/>
      <c r="E161" s="44">
        <f>IF(DAY(MaySun1)=1,MaySun1+9,MaySun1+16)</f>
        <v>43599</v>
      </c>
      <c r="F161" s="38"/>
      <c r="G161" s="44">
        <f>IF(DAY(MaySun1)=1,MaySun1+10,MaySun1+17)</f>
        <v>43600</v>
      </c>
      <c r="H161" s="38"/>
      <c r="I161" s="44">
        <f>IF(DAY(MaySun1)=1,MaySun1+11,MaySun1+18)</f>
        <v>43601</v>
      </c>
      <c r="J161" s="38"/>
      <c r="K161" s="44">
        <f>IF(DAY(MaySun1)=1,MaySun1+12,MaySun1+19)</f>
        <v>43602</v>
      </c>
      <c r="L161" s="38"/>
      <c r="M161" s="44">
        <f>IF(DAY(MaySun1)=1,MaySun1+13,MaySun1+20)</f>
        <v>43603</v>
      </c>
      <c r="N161" s="38"/>
      <c r="O161" s="44">
        <f>IF(DAY(MaySun1)=1,MaySun1+14,MaySun1+21)</f>
        <v>43604</v>
      </c>
    </row>
    <row r="162" spans="1:16" s="15" customFormat="1" ht="55.5" customHeight="1" x14ac:dyDescent="0.25">
      <c r="A162" s="6"/>
      <c r="B162" s="65"/>
      <c r="C162" s="66"/>
      <c r="D162" s="66"/>
      <c r="E162" s="66"/>
      <c r="F162" s="66"/>
      <c r="G162" s="66"/>
      <c r="H162" s="66"/>
      <c r="I162" s="66"/>
      <c r="J162" s="66"/>
      <c r="K162" s="66"/>
      <c r="L162" s="62"/>
      <c r="M162" s="62"/>
      <c r="N162" s="62"/>
      <c r="O162" s="62"/>
    </row>
    <row r="163" spans="1:16" s="15" customFormat="1" ht="8.25" customHeight="1" x14ac:dyDescent="0.25">
      <c r="A163" s="6"/>
      <c r="B163" s="63"/>
      <c r="C163" s="63"/>
      <c r="D163" s="63"/>
      <c r="E163" s="63"/>
      <c r="F163" s="63"/>
      <c r="G163" s="63"/>
      <c r="H163" s="63"/>
      <c r="I163" s="63"/>
      <c r="J163" s="63"/>
      <c r="K163" s="63"/>
      <c r="L163" s="64"/>
      <c r="M163" s="64"/>
      <c r="N163" s="64"/>
      <c r="O163" s="64"/>
    </row>
    <row r="164" spans="1:16" s="10" customFormat="1" ht="16.5" customHeight="1" x14ac:dyDescent="0.25">
      <c r="A164" s="9"/>
      <c r="B164" s="39"/>
      <c r="C164" s="44">
        <f>IF(DAY(MaySun1)=1,MaySun1+15,MaySun1+22)</f>
        <v>43605</v>
      </c>
      <c r="D164" s="38"/>
      <c r="E164" s="44">
        <f>IF(DAY(MaySun1)=1,MaySun1+16,MaySun1+23)</f>
        <v>43606</v>
      </c>
      <c r="F164" s="38"/>
      <c r="G164" s="44">
        <f>IF(DAY(MaySun1)=1,MaySun1+17,MaySun1+24)</f>
        <v>43607</v>
      </c>
      <c r="H164" s="38"/>
      <c r="I164" s="44">
        <f>IF(DAY(MaySun1)=1,MaySun1+18,MaySun1+25)</f>
        <v>43608</v>
      </c>
      <c r="J164" s="38"/>
      <c r="K164" s="44">
        <f>IF(DAY(MaySun1)=1,MaySun1+19,MaySun1+26)</f>
        <v>43609</v>
      </c>
      <c r="L164" s="38"/>
      <c r="M164" s="44">
        <f>IF(DAY(MaySun1)=1,MaySun1+20,MaySun1+27)</f>
        <v>43610</v>
      </c>
      <c r="N164" s="38"/>
      <c r="O164" s="44">
        <f>IF(DAY(MaySun1)=1,MaySun1+21,MaySun1+28)</f>
        <v>43611</v>
      </c>
    </row>
    <row r="165" spans="1:16" s="15" customFormat="1" ht="55.5" customHeight="1" x14ac:dyDescent="0.25">
      <c r="A165" s="6"/>
      <c r="B165" s="65"/>
      <c r="C165" s="66"/>
      <c r="D165" s="66"/>
      <c r="E165" s="66"/>
      <c r="F165" s="66"/>
      <c r="G165" s="66"/>
      <c r="H165" s="66"/>
      <c r="I165" s="66"/>
      <c r="J165" s="66"/>
      <c r="K165" s="66"/>
      <c r="L165" s="62"/>
      <c r="M165" s="62"/>
      <c r="N165" s="62"/>
      <c r="O165" s="62"/>
    </row>
    <row r="166" spans="1:16" s="15" customFormat="1" ht="8.25" customHeight="1" x14ac:dyDescent="0.25">
      <c r="A166" s="6"/>
      <c r="B166" s="63"/>
      <c r="C166" s="63"/>
      <c r="D166" s="63"/>
      <c r="E166" s="63"/>
      <c r="F166" s="63"/>
      <c r="G166" s="63"/>
      <c r="H166" s="63"/>
      <c r="I166" s="63"/>
      <c r="J166" s="63"/>
      <c r="K166" s="63"/>
      <c r="L166" s="64"/>
      <c r="M166" s="64"/>
      <c r="N166" s="64"/>
      <c r="O166" s="64"/>
    </row>
    <row r="167" spans="1:16" s="10" customFormat="1" ht="16.5" customHeight="1" x14ac:dyDescent="0.25">
      <c r="A167" s="9"/>
      <c r="B167" s="39"/>
      <c r="C167" s="44">
        <f>IF(DAY(MaySun1)=1,MaySun1+22,MaySun1+29)</f>
        <v>43612</v>
      </c>
      <c r="D167" s="38"/>
      <c r="E167" s="44">
        <f>IF(DAY(MaySun1)=1,MaySun1+23,MaySun1+30)</f>
        <v>43613</v>
      </c>
      <c r="F167" s="38"/>
      <c r="G167" s="44">
        <f>IF(DAY(MaySun1)=1,MaySun1+24,MaySun1+31)</f>
        <v>43614</v>
      </c>
      <c r="H167" s="38"/>
      <c r="I167" s="44">
        <f>IF(DAY(MaySun1)=1,MaySun1+25,MaySun1+32)</f>
        <v>43615</v>
      </c>
      <c r="J167" s="38"/>
      <c r="K167" s="44">
        <f>IF(DAY(MaySun1)=1,MaySun1+26,MaySun1+33)</f>
        <v>43616</v>
      </c>
      <c r="L167" s="38"/>
      <c r="M167" s="21">
        <f>IF(DAY(MaySun1)=1,MaySun1+27,MaySun1+34)</f>
        <v>43617</v>
      </c>
      <c r="N167" s="38"/>
      <c r="O167" s="21">
        <f>IF(DAY(MaySun1)=1,MaySun1+28,MaySun1+35)</f>
        <v>43618</v>
      </c>
    </row>
    <row r="168" spans="1:16" s="15" customFormat="1" ht="55.5" customHeight="1" x14ac:dyDescent="0.25">
      <c r="A168" s="6"/>
      <c r="B168" s="65"/>
      <c r="C168" s="66"/>
      <c r="D168" s="66"/>
      <c r="E168" s="66"/>
      <c r="F168" s="66"/>
      <c r="G168" s="66"/>
      <c r="H168" s="66"/>
      <c r="I168" s="66"/>
      <c r="J168" s="66"/>
      <c r="K168" s="66"/>
      <c r="L168" s="62"/>
      <c r="M168" s="62"/>
      <c r="N168" s="62"/>
      <c r="O168" s="62"/>
    </row>
    <row r="169" spans="1:16" s="15" customFormat="1" ht="8.25" customHeight="1" x14ac:dyDescent="0.25">
      <c r="A169" s="6"/>
      <c r="B169" s="63"/>
      <c r="C169" s="63"/>
      <c r="D169" s="63"/>
      <c r="E169" s="63"/>
      <c r="F169" s="63"/>
      <c r="G169" s="63"/>
      <c r="H169" s="63"/>
      <c r="I169" s="63"/>
      <c r="J169" s="63"/>
      <c r="K169" s="63"/>
      <c r="L169" s="64"/>
      <c r="M169" s="64"/>
      <c r="N169" s="64"/>
      <c r="O169" s="64"/>
    </row>
    <row r="170" spans="1:16" s="15" customFormat="1" ht="7.5" customHeight="1" x14ac:dyDescent="0.2">
      <c r="B170" s="40"/>
      <c r="C170" s="40"/>
      <c r="D170" s="40"/>
      <c r="E170" s="40"/>
      <c r="F170" s="40"/>
      <c r="G170" s="40"/>
      <c r="H170" s="40"/>
      <c r="I170" s="40"/>
      <c r="J170" s="40"/>
      <c r="K170" s="40"/>
      <c r="L170" s="40"/>
      <c r="M170" s="40"/>
      <c r="N170" s="40"/>
      <c r="O170" s="40"/>
    </row>
    <row r="171" spans="1:16" s="15" customFormat="1" ht="14.25" customHeight="1" x14ac:dyDescent="0.2"/>
    <row r="172" spans="1:16" s="15" customFormat="1" ht="54" customHeight="1" x14ac:dyDescent="0.2">
      <c r="A172" s="69" t="str">
        <f>TEXT(DATE(CalendarYear,6,1),"mmmm")</f>
        <v>June</v>
      </c>
      <c r="B172" s="69"/>
      <c r="C172" s="69"/>
      <c r="D172" s="69"/>
      <c r="E172" s="69"/>
      <c r="F172" s="69"/>
      <c r="G172" s="69"/>
      <c r="H172" s="13"/>
      <c r="I172" s="4"/>
      <c r="J172" s="4"/>
      <c r="L172" s="70">
        <f>CalendarYear</f>
        <v>2019</v>
      </c>
      <c r="M172" s="70"/>
      <c r="N172" s="70"/>
      <c r="O172" s="70"/>
      <c r="P172" s="70"/>
    </row>
    <row r="173" spans="1:16" s="15" customFormat="1" ht="18.95" customHeight="1" x14ac:dyDescent="0.35">
      <c r="A173" s="3"/>
      <c r="B173" s="1"/>
      <c r="C173" s="1"/>
      <c r="D173" s="1"/>
      <c r="E173" s="2"/>
      <c r="F173" s="2"/>
      <c r="G173" s="2"/>
      <c r="H173" s="4"/>
      <c r="I173" s="4"/>
      <c r="J173" s="4"/>
    </row>
    <row r="174" spans="1:16" s="15" customFormat="1" ht="18.95" customHeight="1" x14ac:dyDescent="0.35">
      <c r="A174" s="3"/>
      <c r="B174" s="1"/>
      <c r="C174" s="1"/>
      <c r="D174" s="1"/>
      <c r="E174" s="2"/>
      <c r="F174" s="2"/>
      <c r="G174" s="2"/>
      <c r="H174" s="4"/>
      <c r="I174" s="4"/>
      <c r="J174" s="4"/>
    </row>
    <row r="175" spans="1:16" s="15" customFormat="1" ht="18.95" customHeight="1" x14ac:dyDescent="0.35">
      <c r="A175" s="3"/>
      <c r="B175" s="1"/>
      <c r="C175" s="1"/>
      <c r="D175" s="1"/>
      <c r="E175" s="2"/>
      <c r="F175" s="2"/>
      <c r="G175" s="2"/>
      <c r="H175" s="4"/>
      <c r="I175" s="4"/>
      <c r="J175" s="4"/>
    </row>
    <row r="176" spans="1:16" s="15" customFormat="1" ht="18.95" customHeight="1" x14ac:dyDescent="0.35">
      <c r="A176" s="3"/>
      <c r="B176" s="1"/>
      <c r="C176" s="1"/>
      <c r="D176" s="1"/>
      <c r="E176" s="2"/>
      <c r="F176" s="2"/>
      <c r="G176" s="2"/>
      <c r="H176" s="4"/>
      <c r="I176" s="4"/>
      <c r="J176" s="4"/>
    </row>
    <row r="177" spans="1:22" s="15" customFormat="1" ht="18.95" customHeight="1" x14ac:dyDescent="0.35">
      <c r="A177" s="3"/>
      <c r="B177" s="1"/>
      <c r="C177" s="1"/>
      <c r="D177" s="1"/>
      <c r="E177" s="2"/>
      <c r="F177" s="2"/>
      <c r="G177" s="2"/>
      <c r="H177" s="4"/>
      <c r="I177" s="4"/>
      <c r="J177" s="4"/>
    </row>
    <row r="178" spans="1:22" s="15" customFormat="1" ht="18.95" customHeight="1" x14ac:dyDescent="0.35">
      <c r="A178" s="3"/>
      <c r="B178" s="1"/>
      <c r="C178" s="1"/>
      <c r="D178" s="1"/>
      <c r="E178" s="2"/>
      <c r="F178" s="2"/>
      <c r="G178" s="2"/>
      <c r="H178" s="4"/>
      <c r="I178" s="4"/>
      <c r="J178" s="4"/>
    </row>
    <row r="179" spans="1:22" s="15" customFormat="1" ht="18.95" customHeight="1" x14ac:dyDescent="0.35">
      <c r="A179" s="3"/>
      <c r="B179" s="1"/>
      <c r="C179" s="1"/>
      <c r="D179" s="1"/>
      <c r="E179" s="2"/>
      <c r="F179" s="2"/>
      <c r="G179" s="2"/>
      <c r="H179" s="4"/>
      <c r="I179" s="4"/>
      <c r="J179" s="4"/>
    </row>
    <row r="180" spans="1:22" s="15" customFormat="1" ht="18.95" customHeight="1" x14ac:dyDescent="0.35">
      <c r="A180" s="3"/>
      <c r="B180" s="1"/>
      <c r="C180" s="1"/>
      <c r="D180" s="1"/>
      <c r="E180" s="2"/>
      <c r="F180" s="2"/>
      <c r="G180" s="2"/>
      <c r="H180" s="4"/>
      <c r="I180" s="4"/>
      <c r="J180" s="4"/>
    </row>
    <row r="181" spans="1:22" s="15" customFormat="1" ht="18.95" customHeight="1" x14ac:dyDescent="0.35">
      <c r="A181" s="3"/>
      <c r="B181" s="1"/>
      <c r="C181" s="1"/>
      <c r="D181" s="1"/>
      <c r="E181" s="2"/>
      <c r="F181" s="2"/>
      <c r="G181" s="2"/>
      <c r="H181" s="4"/>
      <c r="I181" s="4"/>
      <c r="J181" s="4"/>
    </row>
    <row r="182" spans="1:22" s="15" customFormat="1" ht="18.95" customHeight="1" x14ac:dyDescent="0.35">
      <c r="A182" s="3"/>
      <c r="B182" s="1"/>
      <c r="C182" s="1"/>
      <c r="D182" s="1"/>
      <c r="E182" s="2"/>
      <c r="F182" s="2"/>
      <c r="G182" s="2"/>
      <c r="H182" s="4"/>
      <c r="I182" s="4"/>
      <c r="J182" s="4"/>
    </row>
    <row r="183" spans="1:22" s="15" customFormat="1" ht="18.95" customHeight="1" x14ac:dyDescent="0.35">
      <c r="A183" s="3"/>
      <c r="B183" s="1"/>
      <c r="C183" s="1"/>
      <c r="D183" s="1"/>
      <c r="E183" s="2"/>
      <c r="F183" s="2"/>
      <c r="G183" s="2"/>
      <c r="H183" s="4"/>
      <c r="I183" s="4"/>
      <c r="J183" s="4"/>
    </row>
    <row r="184" spans="1:22" s="15" customFormat="1" ht="18.95" customHeight="1" x14ac:dyDescent="0.35">
      <c r="A184" s="3"/>
      <c r="B184" s="1"/>
      <c r="C184" s="1"/>
      <c r="D184" s="1"/>
      <c r="E184" s="2"/>
      <c r="F184" s="2"/>
      <c r="G184" s="2"/>
      <c r="H184" s="4"/>
      <c r="I184" s="4"/>
      <c r="J184" s="4"/>
    </row>
    <row r="185" spans="1:22" s="15" customFormat="1" ht="18.95" customHeight="1" x14ac:dyDescent="0.35">
      <c r="A185" s="3"/>
      <c r="B185" s="1"/>
      <c r="C185" s="1"/>
      <c r="D185" s="1"/>
      <c r="E185" s="2"/>
      <c r="F185" s="2"/>
      <c r="G185" s="2"/>
      <c r="H185" s="4"/>
      <c r="I185" s="4"/>
      <c r="J185" s="4"/>
    </row>
    <row r="186" spans="1:22" s="15" customFormat="1" ht="18.95" customHeight="1" x14ac:dyDescent="0.35">
      <c r="A186" s="3"/>
      <c r="B186" s="1"/>
      <c r="C186" s="1"/>
      <c r="D186" s="1"/>
      <c r="E186" s="2"/>
      <c r="F186" s="2"/>
      <c r="G186" s="2"/>
      <c r="H186" s="4"/>
      <c r="I186" s="4"/>
      <c r="J186" s="4"/>
    </row>
    <row r="187" spans="1:22" s="15" customFormat="1" ht="18.95" customHeight="1" x14ac:dyDescent="0.25">
      <c r="A187" s="6"/>
      <c r="B187" s="7"/>
      <c r="C187" s="7"/>
      <c r="D187" s="7"/>
      <c r="E187" s="7"/>
      <c r="F187" s="7"/>
      <c r="G187" s="7"/>
      <c r="H187" s="7"/>
      <c r="I187" s="7"/>
      <c r="J187" s="7"/>
      <c r="K187" s="7"/>
      <c r="L187" s="7"/>
      <c r="M187" s="7"/>
      <c r="N187" s="7"/>
      <c r="O187" s="7"/>
    </row>
    <row r="188" spans="1:22" s="6" customFormat="1" ht="27" customHeight="1" x14ac:dyDescent="0.25">
      <c r="B188" s="68" t="s">
        <v>0</v>
      </c>
      <c r="C188" s="68"/>
      <c r="D188" s="68" t="s">
        <v>1</v>
      </c>
      <c r="E188" s="68"/>
      <c r="F188" s="68" t="s">
        <v>2</v>
      </c>
      <c r="G188" s="68"/>
      <c r="H188" s="68" t="s">
        <v>3</v>
      </c>
      <c r="I188" s="68"/>
      <c r="J188" s="68" t="s">
        <v>4</v>
      </c>
      <c r="K188" s="68"/>
      <c r="L188" s="68" t="s">
        <v>5</v>
      </c>
      <c r="M188" s="68"/>
      <c r="N188" s="68" t="s">
        <v>6</v>
      </c>
      <c r="O188" s="68"/>
      <c r="P188" s="15"/>
      <c r="Q188" s="8"/>
      <c r="U188" s="15"/>
      <c r="V188" s="15"/>
    </row>
    <row r="189" spans="1:22" s="9" customFormat="1" ht="16.5" customHeight="1" x14ac:dyDescent="0.25">
      <c r="B189" s="33"/>
      <c r="C189" s="22">
        <f>IF(DAY(JunSun1)=1,JunSun1-6,JunSun1+1)</f>
        <v>43612</v>
      </c>
      <c r="D189" s="34"/>
      <c r="E189" s="22">
        <f>IF(DAY(JunSun1)=1,JunSun1-5,JunSun1+2)</f>
        <v>43613</v>
      </c>
      <c r="F189" s="34"/>
      <c r="G189" s="22">
        <f>IF(DAY(JunSun1)=1,JunSun1-4,JunSun1+3)</f>
        <v>43614</v>
      </c>
      <c r="H189" s="34"/>
      <c r="I189" s="22">
        <f>IF(DAY(JunSun1)=1,JunSun1-3,JunSun1+4)</f>
        <v>43615</v>
      </c>
      <c r="J189" s="34"/>
      <c r="K189" s="22">
        <f>IF(DAY(JunSun1)=1,JunSun1-2,JunSun1+5)</f>
        <v>43616</v>
      </c>
      <c r="L189" s="34"/>
      <c r="M189" s="46">
        <f>IF(DAY(JunSun1)=1,JunSun1-1,JunSun1+6)</f>
        <v>43617</v>
      </c>
      <c r="N189" s="34"/>
      <c r="O189" s="46">
        <f>IF(DAY(JunSun1)=1,JunSun1,JunSun1+7)</f>
        <v>43618</v>
      </c>
      <c r="P189" s="10"/>
      <c r="Q189" s="10"/>
      <c r="U189" s="11"/>
      <c r="V189" s="10"/>
    </row>
    <row r="190" spans="1:22" s="12" customFormat="1" ht="55.5" customHeight="1" x14ac:dyDescent="0.25">
      <c r="A190" s="6"/>
      <c r="B190" s="74"/>
      <c r="C190" s="75"/>
      <c r="D190" s="75"/>
      <c r="E190" s="75"/>
      <c r="F190" s="75"/>
      <c r="G190" s="75"/>
      <c r="H190" s="75"/>
      <c r="I190" s="75"/>
      <c r="J190" s="75"/>
      <c r="K190" s="75"/>
      <c r="L190" s="71"/>
      <c r="M190" s="71"/>
      <c r="N190" s="71"/>
      <c r="O190" s="71"/>
    </row>
    <row r="191" spans="1:22" s="12" customFormat="1" ht="8.25" customHeight="1" x14ac:dyDescent="0.25">
      <c r="A191" s="6"/>
      <c r="B191" s="72"/>
      <c r="C191" s="72"/>
      <c r="D191" s="72"/>
      <c r="E191" s="72"/>
      <c r="F191" s="72"/>
      <c r="G191" s="72"/>
      <c r="H191" s="72"/>
      <c r="I191" s="72"/>
      <c r="J191" s="72"/>
      <c r="K191" s="72"/>
      <c r="L191" s="73"/>
      <c r="M191" s="73"/>
      <c r="N191" s="73"/>
      <c r="O191" s="73"/>
    </row>
    <row r="192" spans="1:22" s="10" customFormat="1" ht="16.5" customHeight="1" x14ac:dyDescent="0.25">
      <c r="A192" s="9"/>
      <c r="B192" s="35"/>
      <c r="C192" s="46">
        <f>IF(DAY(JunSun1)=1,JunSun1+1,JunSun1+8)</f>
        <v>43619</v>
      </c>
      <c r="D192" s="34"/>
      <c r="E192" s="46">
        <f>IF(DAY(JunSun1)=1,JunSun1+2,JunSun1+9)</f>
        <v>43620</v>
      </c>
      <c r="F192" s="34"/>
      <c r="G192" s="22">
        <f>IF(DAY(JunSun1)=1,JunSun1+3,JunSun1+10)</f>
        <v>43621</v>
      </c>
      <c r="H192" s="34"/>
      <c r="I192" s="46">
        <f>IF(DAY(JunSun1)=1,JunSun1+4,JunSun1+11)</f>
        <v>43622</v>
      </c>
      <c r="J192" s="34"/>
      <c r="K192" s="46">
        <f>IF(DAY(JunSun1)=1,JunSun1+5,JunSun1+12)</f>
        <v>43623</v>
      </c>
      <c r="L192" s="34"/>
      <c r="M192" s="46">
        <f>IF(DAY(JunSun1)=1,JunSun1+6,JunSun1+13)</f>
        <v>43624</v>
      </c>
      <c r="N192" s="34"/>
      <c r="O192" s="46">
        <f>IF(DAY(JunSun1)=1,JunSun1+7,JunSun1+14)</f>
        <v>43625</v>
      </c>
    </row>
    <row r="193" spans="1:16" s="15" customFormat="1" ht="55.5" customHeight="1" x14ac:dyDescent="0.25">
      <c r="A193" s="6"/>
      <c r="B193" s="74"/>
      <c r="C193" s="75"/>
      <c r="D193" s="75"/>
      <c r="E193" s="75"/>
      <c r="F193" s="75" t="s">
        <v>7</v>
      </c>
      <c r="G193" s="75"/>
      <c r="H193" s="75"/>
      <c r="I193" s="75"/>
      <c r="J193" s="75"/>
      <c r="K193" s="75"/>
      <c r="L193" s="71"/>
      <c r="M193" s="71"/>
      <c r="N193" s="71"/>
      <c r="O193" s="71"/>
    </row>
    <row r="194" spans="1:16" s="15" customFormat="1" ht="8.25" customHeight="1" x14ac:dyDescent="0.25">
      <c r="A194" s="6"/>
      <c r="B194" s="72"/>
      <c r="C194" s="72"/>
      <c r="D194" s="72"/>
      <c r="E194" s="72"/>
      <c r="F194" s="72"/>
      <c r="G194" s="72"/>
      <c r="H194" s="72"/>
      <c r="I194" s="72"/>
      <c r="J194" s="72"/>
      <c r="K194" s="72"/>
      <c r="L194" s="73"/>
      <c r="M194" s="73"/>
      <c r="N194" s="73"/>
      <c r="O194" s="73"/>
    </row>
    <row r="195" spans="1:16" s="10" customFormat="1" ht="16.5" customHeight="1" x14ac:dyDescent="0.25">
      <c r="A195" s="9"/>
      <c r="B195" s="35"/>
      <c r="C195" s="46">
        <f>IF(DAY(JunSun1)=1,JunSun1+8,JunSun1+15)</f>
        <v>43626</v>
      </c>
      <c r="D195" s="34"/>
      <c r="E195" s="46">
        <f>IF(DAY(JunSun1)=1,JunSun1+9,JunSun1+16)</f>
        <v>43627</v>
      </c>
      <c r="F195" s="34"/>
      <c r="G195" s="46">
        <f>IF(DAY(JunSun1)=1,JunSun1+10,JunSun1+17)</f>
        <v>43628</v>
      </c>
      <c r="H195" s="34"/>
      <c r="I195" s="46">
        <f>IF(DAY(JunSun1)=1,JunSun1+11,JunSun1+18)</f>
        <v>43629</v>
      </c>
      <c r="J195" s="34"/>
      <c r="K195" s="46">
        <f>IF(DAY(JunSun1)=1,JunSun1+12,JunSun1+19)</f>
        <v>43630</v>
      </c>
      <c r="L195" s="34"/>
      <c r="M195" s="46">
        <f>IF(DAY(JunSun1)=1,JunSun1+13,JunSun1+20)</f>
        <v>43631</v>
      </c>
      <c r="N195" s="34"/>
      <c r="O195" s="46">
        <f>IF(DAY(JunSun1)=1,JunSun1+14,JunSun1+21)</f>
        <v>43632</v>
      </c>
    </row>
    <row r="196" spans="1:16" s="15" customFormat="1" ht="55.5" customHeight="1" x14ac:dyDescent="0.25">
      <c r="A196" s="6"/>
      <c r="B196" s="74"/>
      <c r="C196" s="75"/>
      <c r="D196" s="75"/>
      <c r="E196" s="75"/>
      <c r="F196" s="75"/>
      <c r="G196" s="75"/>
      <c r="H196" s="75"/>
      <c r="I196" s="75"/>
      <c r="J196" s="75"/>
      <c r="K196" s="75"/>
      <c r="L196" s="71"/>
      <c r="M196" s="71"/>
      <c r="N196" s="71"/>
      <c r="O196" s="71"/>
    </row>
    <row r="197" spans="1:16" s="15" customFormat="1" ht="8.25" customHeight="1" x14ac:dyDescent="0.25">
      <c r="A197" s="6"/>
      <c r="B197" s="72"/>
      <c r="C197" s="72"/>
      <c r="D197" s="72"/>
      <c r="E197" s="72"/>
      <c r="F197" s="72"/>
      <c r="G197" s="72"/>
      <c r="H197" s="72"/>
      <c r="I197" s="72"/>
      <c r="J197" s="72"/>
      <c r="K197" s="72"/>
      <c r="L197" s="73"/>
      <c r="M197" s="73"/>
      <c r="N197" s="73"/>
      <c r="O197" s="73"/>
    </row>
    <row r="198" spans="1:16" s="10" customFormat="1" ht="16.5" customHeight="1" x14ac:dyDescent="0.25">
      <c r="A198" s="9"/>
      <c r="B198" s="34"/>
      <c r="C198" s="46">
        <f>IF(DAY(JunSun1)=1,JunSun1+15,JunSun1+22)</f>
        <v>43633</v>
      </c>
      <c r="D198" s="34"/>
      <c r="E198" s="46">
        <f>IF(DAY(JunSun1)=1,JunSun1+16,JunSun1+23)</f>
        <v>43634</v>
      </c>
      <c r="F198" s="34"/>
      <c r="G198" s="46">
        <f>IF(DAY(JunSun1)=1,JunSun1+17,JunSun1+24)</f>
        <v>43635</v>
      </c>
      <c r="H198" s="34"/>
      <c r="I198" s="46">
        <f>IF(DAY(JunSun1)=1,JunSun1+18,JunSun1+25)</f>
        <v>43636</v>
      </c>
      <c r="J198" s="34"/>
      <c r="K198" s="46">
        <f>IF(DAY(JunSun1)=1,JunSun1+19,JunSun1+26)</f>
        <v>43637</v>
      </c>
      <c r="L198" s="34"/>
      <c r="M198" s="46">
        <f>IF(DAY(JunSun1)=1,JunSun1+20,JunSun1+27)</f>
        <v>43638</v>
      </c>
      <c r="N198" s="34"/>
      <c r="O198" s="46">
        <f>IF(DAY(JunSun1)=1,JunSun1+21,JunSun1+28)</f>
        <v>43639</v>
      </c>
    </row>
    <row r="199" spans="1:16" s="15" customFormat="1" ht="55.5" customHeight="1" x14ac:dyDescent="0.25">
      <c r="A199" s="6"/>
      <c r="B199" s="74"/>
      <c r="C199" s="75"/>
      <c r="D199" s="75"/>
      <c r="E199" s="75"/>
      <c r="F199" s="75"/>
      <c r="G199" s="75"/>
      <c r="H199" s="75"/>
      <c r="I199" s="75"/>
      <c r="J199" s="75"/>
      <c r="K199" s="75"/>
      <c r="L199" s="71"/>
      <c r="M199" s="71"/>
      <c r="N199" s="71"/>
      <c r="O199" s="71"/>
    </row>
    <row r="200" spans="1:16" s="15" customFormat="1" ht="8.25" customHeight="1" x14ac:dyDescent="0.25">
      <c r="A200" s="6"/>
      <c r="B200" s="72"/>
      <c r="C200" s="72"/>
      <c r="D200" s="72"/>
      <c r="E200" s="72"/>
      <c r="F200" s="72"/>
      <c r="G200" s="72"/>
      <c r="H200" s="72"/>
      <c r="I200" s="72"/>
      <c r="J200" s="72"/>
      <c r="K200" s="72"/>
      <c r="L200" s="73"/>
      <c r="M200" s="73"/>
      <c r="N200" s="73"/>
      <c r="O200" s="73"/>
    </row>
    <row r="201" spans="1:16" s="10" customFormat="1" ht="16.5" customHeight="1" x14ac:dyDescent="0.25">
      <c r="A201" s="9"/>
      <c r="B201" s="34"/>
      <c r="C201" s="46">
        <f>IF(DAY(JunSun1)=1,JunSun1+22,JunSun1+29)</f>
        <v>43640</v>
      </c>
      <c r="D201" s="34"/>
      <c r="E201" s="46">
        <f>IF(DAY(JunSun1)=1,JunSun1+23,JunSun1+30)</f>
        <v>43641</v>
      </c>
      <c r="F201" s="34"/>
      <c r="G201" s="46">
        <f>IF(DAY(JunSun1)=1,JunSun1+24,JunSun1+31)</f>
        <v>43642</v>
      </c>
      <c r="H201" s="34"/>
      <c r="I201" s="46">
        <f>IF(DAY(JunSun1)=1,JunSun1+25,JunSun1+32)</f>
        <v>43643</v>
      </c>
      <c r="J201" s="34"/>
      <c r="K201" s="46">
        <f>IF(DAY(JunSun1)=1,JunSun1+26,JunSun1+33)</f>
        <v>43644</v>
      </c>
      <c r="L201" s="34"/>
      <c r="M201" s="46">
        <f>IF(DAY(JunSun1)=1,JunSun1+27,JunSun1+34)</f>
        <v>43645</v>
      </c>
      <c r="N201" s="34"/>
      <c r="O201" s="46">
        <f>IF(DAY(JunSun1)=1,JunSun1+28,JunSun1+35)</f>
        <v>43646</v>
      </c>
    </row>
    <row r="202" spans="1:16" s="15" customFormat="1" ht="55.5" customHeight="1" x14ac:dyDescent="0.25">
      <c r="A202" s="6"/>
      <c r="B202" s="74"/>
      <c r="C202" s="75"/>
      <c r="D202" s="75"/>
      <c r="E202" s="75"/>
      <c r="F202" s="75"/>
      <c r="G202" s="75"/>
      <c r="H202" s="75"/>
      <c r="I202" s="75"/>
      <c r="J202" s="75"/>
      <c r="K202" s="75"/>
      <c r="L202" s="71"/>
      <c r="M202" s="71"/>
      <c r="N202" s="71"/>
      <c r="O202" s="71"/>
    </row>
    <row r="203" spans="1:16" s="15" customFormat="1" ht="8.25" customHeight="1" x14ac:dyDescent="0.25">
      <c r="A203" s="6"/>
      <c r="B203" s="72"/>
      <c r="C203" s="72"/>
      <c r="D203" s="72"/>
      <c r="E203" s="72"/>
      <c r="F203" s="72"/>
      <c r="G203" s="72"/>
      <c r="H203" s="72"/>
      <c r="I203" s="72"/>
      <c r="J203" s="72"/>
      <c r="K203" s="72"/>
      <c r="L203" s="73"/>
      <c r="M203" s="73"/>
      <c r="N203" s="73"/>
      <c r="O203" s="73"/>
    </row>
    <row r="204" spans="1:16" s="15" customFormat="1" ht="7.5" customHeight="1" x14ac:dyDescent="0.2">
      <c r="B204" s="36"/>
      <c r="C204" s="36"/>
      <c r="D204" s="36"/>
      <c r="E204" s="36"/>
      <c r="F204" s="36"/>
      <c r="G204" s="36"/>
      <c r="H204" s="36"/>
      <c r="I204" s="36"/>
      <c r="J204" s="36"/>
      <c r="K204" s="36"/>
      <c r="L204" s="36"/>
      <c r="M204" s="36"/>
      <c r="N204" s="36"/>
      <c r="O204" s="36"/>
    </row>
    <row r="205" spans="1:16" s="15" customFormat="1" ht="14.25" customHeight="1" x14ac:dyDescent="0.2"/>
    <row r="206" spans="1:16" s="15" customFormat="1" ht="54" customHeight="1" x14ac:dyDescent="0.2">
      <c r="A206" s="78" t="str">
        <f>TEXT(DATE(CalendarYear,7,1),"mmmm")</f>
        <v>July</v>
      </c>
      <c r="B206" s="78"/>
      <c r="C206" s="78"/>
      <c r="D206" s="78"/>
      <c r="E206" s="78"/>
      <c r="F206" s="78"/>
      <c r="G206" s="78"/>
      <c r="H206" s="13"/>
      <c r="I206" s="4"/>
      <c r="J206" s="4"/>
      <c r="L206" s="76">
        <f>CalendarYear</f>
        <v>2019</v>
      </c>
      <c r="M206" s="76"/>
      <c r="N206" s="76"/>
      <c r="O206" s="76"/>
      <c r="P206" s="76"/>
    </row>
    <row r="207" spans="1:16" s="15" customFormat="1" ht="18.95" customHeight="1" x14ac:dyDescent="0.35">
      <c r="A207" s="3"/>
      <c r="B207" s="1"/>
      <c r="C207" s="1"/>
      <c r="D207" s="1"/>
      <c r="E207" s="2"/>
      <c r="F207" s="2"/>
      <c r="G207" s="2"/>
      <c r="H207" s="4"/>
      <c r="I207" s="4"/>
      <c r="J207" s="4"/>
    </row>
    <row r="208" spans="1:16" s="15" customFormat="1" ht="18.95" customHeight="1" x14ac:dyDescent="0.35">
      <c r="A208" s="3"/>
      <c r="B208" s="1"/>
      <c r="C208" s="1"/>
      <c r="D208" s="1"/>
      <c r="E208" s="2"/>
      <c r="F208" s="2"/>
      <c r="G208" s="2"/>
      <c r="H208" s="4"/>
      <c r="I208" s="4"/>
      <c r="J208" s="4"/>
    </row>
    <row r="209" spans="1:22" s="15" customFormat="1" ht="18.95" customHeight="1" x14ac:dyDescent="0.35">
      <c r="A209" s="3"/>
      <c r="B209" s="1"/>
      <c r="C209" s="1"/>
      <c r="D209" s="1"/>
      <c r="E209" s="2"/>
      <c r="F209" s="2"/>
      <c r="G209" s="2"/>
      <c r="H209" s="4"/>
      <c r="I209" s="4"/>
      <c r="J209" s="4"/>
    </row>
    <row r="210" spans="1:22" s="15" customFormat="1" ht="18.95" customHeight="1" x14ac:dyDescent="0.35">
      <c r="A210" s="3"/>
      <c r="B210" s="1"/>
      <c r="C210" s="1"/>
      <c r="D210" s="1"/>
      <c r="E210" s="2"/>
      <c r="F210" s="2"/>
      <c r="G210" s="2"/>
      <c r="H210" s="4"/>
      <c r="I210" s="4"/>
      <c r="J210" s="4"/>
    </row>
    <row r="211" spans="1:22" s="15" customFormat="1" ht="18.95" customHeight="1" x14ac:dyDescent="0.35">
      <c r="A211" s="3"/>
      <c r="B211" s="1"/>
      <c r="C211" s="1"/>
      <c r="D211" s="1"/>
      <c r="E211" s="2"/>
      <c r="F211" s="2"/>
      <c r="G211" s="2"/>
      <c r="H211" s="4"/>
      <c r="I211" s="4"/>
      <c r="J211" s="4"/>
    </row>
    <row r="212" spans="1:22" s="15" customFormat="1" ht="18.95" customHeight="1" x14ac:dyDescent="0.35">
      <c r="A212" s="3"/>
      <c r="B212" s="1"/>
      <c r="C212" s="1"/>
      <c r="D212" s="1"/>
      <c r="E212" s="2"/>
      <c r="F212" s="2"/>
      <c r="G212" s="2"/>
      <c r="H212" s="4"/>
      <c r="I212" s="4"/>
      <c r="J212" s="4"/>
    </row>
    <row r="213" spans="1:22" s="15" customFormat="1" ht="18.95" customHeight="1" x14ac:dyDescent="0.35">
      <c r="A213" s="3"/>
      <c r="B213" s="1"/>
      <c r="C213" s="1"/>
      <c r="D213" s="1"/>
      <c r="E213" s="2"/>
      <c r="F213" s="2"/>
      <c r="G213" s="2"/>
      <c r="H213" s="4"/>
      <c r="I213" s="4"/>
      <c r="J213" s="4"/>
    </row>
    <row r="214" spans="1:22" s="15" customFormat="1" ht="18.95" customHeight="1" x14ac:dyDescent="0.35">
      <c r="A214" s="3"/>
      <c r="B214" s="1"/>
      <c r="C214" s="1"/>
      <c r="D214" s="1"/>
      <c r="E214" s="2"/>
      <c r="F214" s="2"/>
      <c r="G214" s="2"/>
      <c r="H214" s="4"/>
      <c r="I214" s="4"/>
      <c r="J214" s="4"/>
    </row>
    <row r="215" spans="1:22" s="15" customFormat="1" ht="18.95" customHeight="1" x14ac:dyDescent="0.35">
      <c r="A215" s="3"/>
      <c r="B215" s="1"/>
      <c r="C215" s="1"/>
      <c r="D215" s="1"/>
      <c r="E215" s="2"/>
      <c r="F215" s="2"/>
      <c r="G215" s="2"/>
      <c r="H215" s="4"/>
      <c r="I215" s="4"/>
      <c r="J215" s="4"/>
    </row>
    <row r="216" spans="1:22" s="15" customFormat="1" ht="18.95" customHeight="1" x14ac:dyDescent="0.35">
      <c r="A216" s="3"/>
      <c r="B216" s="1"/>
      <c r="C216" s="1"/>
      <c r="D216" s="1"/>
      <c r="E216" s="2"/>
      <c r="F216" s="2"/>
      <c r="G216" s="2"/>
      <c r="H216" s="4"/>
      <c r="I216" s="4"/>
      <c r="J216" s="4"/>
    </row>
    <row r="217" spans="1:22" s="15" customFormat="1" ht="18.95" customHeight="1" x14ac:dyDescent="0.35">
      <c r="A217" s="3"/>
      <c r="B217" s="1"/>
      <c r="C217" s="1"/>
      <c r="D217" s="1"/>
      <c r="E217" s="2"/>
      <c r="F217" s="2"/>
      <c r="G217" s="2"/>
      <c r="H217" s="4"/>
      <c r="I217" s="4"/>
      <c r="J217" s="4"/>
    </row>
    <row r="218" spans="1:22" s="15" customFormat="1" ht="18.95" customHeight="1" x14ac:dyDescent="0.35">
      <c r="A218" s="3"/>
      <c r="B218" s="1"/>
      <c r="C218" s="1"/>
      <c r="D218" s="1"/>
      <c r="E218" s="2"/>
      <c r="F218" s="2"/>
      <c r="G218" s="2"/>
      <c r="H218" s="4"/>
      <c r="I218" s="4"/>
      <c r="J218" s="4"/>
    </row>
    <row r="219" spans="1:22" s="15" customFormat="1" ht="18.95" customHeight="1" x14ac:dyDescent="0.35">
      <c r="A219" s="3"/>
      <c r="B219" s="1"/>
      <c r="C219" s="1"/>
      <c r="D219" s="1"/>
      <c r="E219" s="2"/>
      <c r="F219" s="2"/>
      <c r="G219" s="2"/>
      <c r="H219" s="4"/>
      <c r="I219" s="4"/>
      <c r="J219" s="4"/>
    </row>
    <row r="220" spans="1:22" s="15" customFormat="1" ht="18.95" customHeight="1" x14ac:dyDescent="0.35">
      <c r="A220" s="3"/>
      <c r="B220" s="1"/>
      <c r="C220" s="1"/>
      <c r="D220" s="1"/>
      <c r="E220" s="2"/>
      <c r="F220" s="2"/>
      <c r="G220" s="2"/>
      <c r="H220" s="4"/>
      <c r="I220" s="4"/>
      <c r="J220" s="4"/>
    </row>
    <row r="221" spans="1:22" s="15" customFormat="1" ht="18.95" customHeight="1" x14ac:dyDescent="0.25">
      <c r="A221" s="6"/>
      <c r="B221" s="7"/>
      <c r="C221" s="7"/>
      <c r="D221" s="7"/>
      <c r="E221" s="7"/>
      <c r="F221" s="7"/>
      <c r="G221" s="7"/>
      <c r="H221" s="7"/>
      <c r="I221" s="7"/>
      <c r="J221" s="7"/>
      <c r="K221" s="7"/>
      <c r="L221" s="7"/>
      <c r="M221" s="7"/>
      <c r="N221" s="7"/>
      <c r="O221" s="7"/>
    </row>
    <row r="222" spans="1:22" s="6" customFormat="1" ht="27" customHeight="1" x14ac:dyDescent="0.25">
      <c r="B222" s="77" t="s">
        <v>0</v>
      </c>
      <c r="C222" s="77"/>
      <c r="D222" s="77" t="s">
        <v>1</v>
      </c>
      <c r="E222" s="77"/>
      <c r="F222" s="77" t="s">
        <v>2</v>
      </c>
      <c r="G222" s="77"/>
      <c r="H222" s="77" t="s">
        <v>3</v>
      </c>
      <c r="I222" s="77"/>
      <c r="J222" s="77" t="s">
        <v>4</v>
      </c>
      <c r="K222" s="77"/>
      <c r="L222" s="77" t="s">
        <v>5</v>
      </c>
      <c r="M222" s="77"/>
      <c r="N222" s="77" t="s">
        <v>6</v>
      </c>
      <c r="O222" s="77"/>
      <c r="P222" s="15"/>
      <c r="Q222" s="8"/>
      <c r="U222" s="15"/>
      <c r="V222" s="15"/>
    </row>
    <row r="223" spans="1:22" s="9" customFormat="1" ht="16.5" customHeight="1" x14ac:dyDescent="0.25">
      <c r="B223" s="33"/>
      <c r="C223" s="46">
        <f>IF(DAY(JulSun1)=1,JulSun1-6,JulSun1+1)</f>
        <v>43647</v>
      </c>
      <c r="D223" s="34"/>
      <c r="E223" s="46">
        <f>IF(DAY(JulSun1)=1,JulSun1-5,JulSun1+2)</f>
        <v>43648</v>
      </c>
      <c r="F223" s="34"/>
      <c r="G223" s="46">
        <f>IF(DAY(JulSun1)=1,JulSun1-4,JulSun1+3)</f>
        <v>43649</v>
      </c>
      <c r="H223" s="34"/>
      <c r="I223" s="46">
        <f>IF(DAY(JulSun1)=1,JulSun1-3,JulSun1+4)</f>
        <v>43650</v>
      </c>
      <c r="J223" s="34"/>
      <c r="K223" s="46">
        <f>IF(DAY(JulSun1)=1,JulSun1-2,JulSun1+5)</f>
        <v>43651</v>
      </c>
      <c r="L223" s="34"/>
      <c r="M223" s="46">
        <f>IF(DAY(JulSun1)=1,JulSun1-1,JulSun1+6)</f>
        <v>43652</v>
      </c>
      <c r="N223" s="34"/>
      <c r="O223" s="46">
        <f>IF(DAY(JulSun1)=1,JulSun1,JulSun1+7)</f>
        <v>43653</v>
      </c>
      <c r="P223" s="10"/>
      <c r="Q223" s="10"/>
      <c r="U223" s="11"/>
      <c r="V223" s="10"/>
    </row>
    <row r="224" spans="1:22" s="12" customFormat="1" ht="55.5" customHeight="1" x14ac:dyDescent="0.25">
      <c r="A224" s="6"/>
      <c r="B224" s="74"/>
      <c r="C224" s="75"/>
      <c r="D224" s="75"/>
      <c r="E224" s="75"/>
      <c r="F224" s="75"/>
      <c r="G224" s="75"/>
      <c r="H224" s="75"/>
      <c r="I224" s="75"/>
      <c r="J224" s="75"/>
      <c r="K224" s="75"/>
      <c r="L224" s="71"/>
      <c r="M224" s="71"/>
      <c r="N224" s="71"/>
      <c r="O224" s="71"/>
    </row>
    <row r="225" spans="1:16" s="12" customFormat="1" ht="8.25" customHeight="1" x14ac:dyDescent="0.25">
      <c r="A225" s="6"/>
      <c r="B225" s="72"/>
      <c r="C225" s="72"/>
      <c r="D225" s="72"/>
      <c r="E225" s="72"/>
      <c r="F225" s="72"/>
      <c r="G225" s="72"/>
      <c r="H225" s="72"/>
      <c r="I225" s="72"/>
      <c r="J225" s="72"/>
      <c r="K225" s="72"/>
      <c r="L225" s="73"/>
      <c r="M225" s="73"/>
      <c r="N225" s="73"/>
      <c r="O225" s="73"/>
    </row>
    <row r="226" spans="1:16" s="10" customFormat="1" ht="16.5" customHeight="1" x14ac:dyDescent="0.25">
      <c r="A226" s="9"/>
      <c r="B226" s="35"/>
      <c r="C226" s="46">
        <f>IF(DAY(JulSun1)=1,JulSun1+1,JulSun1+8)</f>
        <v>43654</v>
      </c>
      <c r="D226" s="34"/>
      <c r="E226" s="46">
        <f>IF(DAY(JulSun1)=1,JulSun1+2,JulSun1+9)</f>
        <v>43655</v>
      </c>
      <c r="F226" s="34"/>
      <c r="G226" s="47">
        <f>IF(DAY(JulSun1)=1,JulSun1+3,JulSun1+10)</f>
        <v>43656</v>
      </c>
      <c r="H226" s="34"/>
      <c r="I226" s="46">
        <f>IF(DAY(JulSun1)=1,JulSun1+4,JulSun1+11)</f>
        <v>43657</v>
      </c>
      <c r="J226" s="34"/>
      <c r="K226" s="46">
        <f>IF(DAY(JulSun1)=1,JulSun1+5,JulSun1+12)</f>
        <v>43658</v>
      </c>
      <c r="L226" s="34"/>
      <c r="M226" s="46">
        <f>IF(DAY(JulSun1)=1,JulSun1+6,JulSun1+13)</f>
        <v>43659</v>
      </c>
      <c r="N226" s="34"/>
      <c r="O226" s="46">
        <f>IF(DAY(JulSun1)=1,JulSun1+7,JulSun1+14)</f>
        <v>43660</v>
      </c>
    </row>
    <row r="227" spans="1:16" s="15" customFormat="1" ht="55.5" customHeight="1" x14ac:dyDescent="0.25">
      <c r="A227" s="6"/>
      <c r="B227" s="74"/>
      <c r="C227" s="75"/>
      <c r="D227" s="75"/>
      <c r="E227" s="75"/>
      <c r="F227" s="75" t="s">
        <v>7</v>
      </c>
      <c r="G227" s="75"/>
      <c r="H227" s="75"/>
      <c r="I227" s="75"/>
      <c r="J227" s="75"/>
      <c r="K227" s="75"/>
      <c r="L227" s="71"/>
      <c r="M227" s="71"/>
      <c r="N227" s="71"/>
      <c r="O227" s="71"/>
    </row>
    <row r="228" spans="1:16" s="15" customFormat="1" ht="8.25" customHeight="1" x14ac:dyDescent="0.25">
      <c r="A228" s="6"/>
      <c r="B228" s="72"/>
      <c r="C228" s="72"/>
      <c r="D228" s="72"/>
      <c r="E228" s="72"/>
      <c r="F228" s="72"/>
      <c r="G228" s="72"/>
      <c r="H228" s="72"/>
      <c r="I228" s="72"/>
      <c r="J228" s="72"/>
      <c r="K228" s="72"/>
      <c r="L228" s="73"/>
      <c r="M228" s="73"/>
      <c r="N228" s="73"/>
      <c r="O228" s="73"/>
    </row>
    <row r="229" spans="1:16" s="10" customFormat="1" ht="16.5" customHeight="1" x14ac:dyDescent="0.25">
      <c r="A229" s="9"/>
      <c r="B229" s="35"/>
      <c r="C229" s="46">
        <f>IF(DAY(JulSun1)=1,JulSun1+8,JulSun1+15)</f>
        <v>43661</v>
      </c>
      <c r="D229" s="34"/>
      <c r="E229" s="46">
        <f>IF(DAY(JulSun1)=1,JulSun1+9,JulSun1+16)</f>
        <v>43662</v>
      </c>
      <c r="F229" s="34"/>
      <c r="G229" s="46">
        <f>IF(DAY(JulSun1)=1,JulSun1+10,JulSun1+17)</f>
        <v>43663</v>
      </c>
      <c r="H229" s="34"/>
      <c r="I229" s="46">
        <f>IF(DAY(JulSun1)=1,JulSun1+11,JulSun1+18)</f>
        <v>43664</v>
      </c>
      <c r="J229" s="34"/>
      <c r="K229" s="46">
        <f>IF(DAY(JulSun1)=1,JulSun1+12,JulSun1+19)</f>
        <v>43665</v>
      </c>
      <c r="L229" s="34"/>
      <c r="M229" s="46">
        <f>IF(DAY(JulSun1)=1,JulSun1+13,JulSun1+20)</f>
        <v>43666</v>
      </c>
      <c r="N229" s="34"/>
      <c r="O229" s="46">
        <f>IF(DAY(JulSun1)=1,JulSun1+14,JulSun1+21)</f>
        <v>43667</v>
      </c>
    </row>
    <row r="230" spans="1:16" s="15" customFormat="1" ht="55.5" customHeight="1" x14ac:dyDescent="0.25">
      <c r="A230" s="6"/>
      <c r="B230" s="74"/>
      <c r="C230" s="75"/>
      <c r="D230" s="75"/>
      <c r="E230" s="75"/>
      <c r="F230" s="75"/>
      <c r="G230" s="75"/>
      <c r="H230" s="75"/>
      <c r="I230" s="75"/>
      <c r="J230" s="75"/>
      <c r="K230" s="75"/>
      <c r="L230" s="71"/>
      <c r="M230" s="71"/>
      <c r="N230" s="71"/>
      <c r="O230" s="71"/>
    </row>
    <row r="231" spans="1:16" s="15" customFormat="1" ht="8.25" customHeight="1" x14ac:dyDescent="0.25">
      <c r="A231" s="6"/>
      <c r="B231" s="72"/>
      <c r="C231" s="72"/>
      <c r="D231" s="72"/>
      <c r="E231" s="72"/>
      <c r="F231" s="72"/>
      <c r="G231" s="72"/>
      <c r="H231" s="72"/>
      <c r="I231" s="72"/>
      <c r="J231" s="72"/>
      <c r="K231" s="72"/>
      <c r="L231" s="73"/>
      <c r="M231" s="73"/>
      <c r="N231" s="73"/>
      <c r="O231" s="73"/>
    </row>
    <row r="232" spans="1:16" s="10" customFormat="1" ht="16.5" customHeight="1" x14ac:dyDescent="0.25">
      <c r="A232" s="9"/>
      <c r="B232" s="34"/>
      <c r="C232" s="46">
        <f>IF(DAY(JulSun1)=1,JulSun1+15,JulSun1+22)</f>
        <v>43668</v>
      </c>
      <c r="D232" s="34"/>
      <c r="E232" s="46">
        <f>IF(DAY(JulSun1)=1,JulSun1+16,JulSun1+23)</f>
        <v>43669</v>
      </c>
      <c r="F232" s="34"/>
      <c r="G232" s="46">
        <f>IF(DAY(JulSun1)=1,JulSun1+17,JulSun1+24)</f>
        <v>43670</v>
      </c>
      <c r="H232" s="34"/>
      <c r="I232" s="46">
        <f>IF(DAY(JulSun1)=1,JulSun1+18,JulSun1+25)</f>
        <v>43671</v>
      </c>
      <c r="J232" s="34"/>
      <c r="K232" s="46">
        <f>IF(DAY(JulSun1)=1,JulSun1+19,JulSun1+26)</f>
        <v>43672</v>
      </c>
      <c r="L232" s="34"/>
      <c r="M232" s="46">
        <f>IF(DAY(JulSun1)=1,JulSun1+20,JulSun1+27)</f>
        <v>43673</v>
      </c>
      <c r="N232" s="34"/>
      <c r="O232" s="46">
        <f>IF(DAY(JulSun1)=1,JulSun1+21,JulSun1+28)</f>
        <v>43674</v>
      </c>
    </row>
    <row r="233" spans="1:16" s="15" customFormat="1" ht="55.5" customHeight="1" x14ac:dyDescent="0.25">
      <c r="A233" s="6"/>
      <c r="B233" s="74"/>
      <c r="C233" s="75"/>
      <c r="D233" s="75"/>
      <c r="E233" s="75"/>
      <c r="F233" s="75"/>
      <c r="G233" s="75"/>
      <c r="H233" s="75"/>
      <c r="I233" s="75"/>
      <c r="J233" s="75"/>
      <c r="K233" s="75"/>
      <c r="L233" s="71"/>
      <c r="M233" s="71"/>
      <c r="N233" s="71"/>
      <c r="O233" s="71"/>
    </row>
    <row r="234" spans="1:16" s="15" customFormat="1" ht="8.25" customHeight="1" x14ac:dyDescent="0.25">
      <c r="A234" s="6"/>
      <c r="B234" s="72"/>
      <c r="C234" s="72"/>
      <c r="D234" s="72"/>
      <c r="E234" s="72"/>
      <c r="F234" s="72"/>
      <c r="G234" s="72"/>
      <c r="H234" s="72"/>
      <c r="I234" s="72"/>
      <c r="J234" s="72"/>
      <c r="K234" s="72"/>
      <c r="L234" s="73"/>
      <c r="M234" s="73"/>
      <c r="N234" s="73"/>
      <c r="O234" s="73"/>
    </row>
    <row r="235" spans="1:16" s="10" customFormat="1" ht="16.5" customHeight="1" x14ac:dyDescent="0.25">
      <c r="A235" s="9"/>
      <c r="B235" s="34"/>
      <c r="C235" s="46">
        <f>IF(DAY(JulSun1)=1,JulSun1+22,JulSun1+29)</f>
        <v>43675</v>
      </c>
      <c r="D235" s="34"/>
      <c r="E235" s="46">
        <f>IF(DAY(JulSun1)=1,JulSun1+23,JulSun1+30)</f>
        <v>43676</v>
      </c>
      <c r="F235" s="34"/>
      <c r="G235" s="46">
        <f>IF(DAY(JulSun1)=1,JulSun1+24,JulSun1+31)</f>
        <v>43677</v>
      </c>
      <c r="H235" s="34"/>
      <c r="I235" s="22">
        <f>IF(DAY(JulSun1)=1,JulSun1+25,JulSun1+32)</f>
        <v>43678</v>
      </c>
      <c r="J235" s="34"/>
      <c r="K235" s="22">
        <f>IF(DAY(JulSun1)=1,JulSun1+26,JulSun1+33)</f>
        <v>43679</v>
      </c>
      <c r="L235" s="34"/>
      <c r="M235" s="22">
        <f>IF(DAY(JulSun1)=1,JulSun1+27,JulSun1+34)</f>
        <v>43680</v>
      </c>
      <c r="N235" s="34"/>
      <c r="O235" s="22">
        <f>IF(DAY(JulSun1)=1,JulSun1+28,JulSun1+35)</f>
        <v>43681</v>
      </c>
    </row>
    <row r="236" spans="1:16" s="15" customFormat="1" ht="55.5" customHeight="1" x14ac:dyDescent="0.25">
      <c r="A236" s="6"/>
      <c r="B236" s="74"/>
      <c r="C236" s="75"/>
      <c r="D236" s="75"/>
      <c r="E236" s="75"/>
      <c r="F236" s="75"/>
      <c r="G236" s="75"/>
      <c r="H236" s="75"/>
      <c r="I236" s="75"/>
      <c r="J236" s="75"/>
      <c r="K236" s="75"/>
      <c r="L236" s="71"/>
      <c r="M236" s="71"/>
      <c r="N236" s="71"/>
      <c r="O236" s="71"/>
    </row>
    <row r="237" spans="1:16" s="15" customFormat="1" ht="8.25" customHeight="1" x14ac:dyDescent="0.25">
      <c r="A237" s="6"/>
      <c r="B237" s="72"/>
      <c r="C237" s="72"/>
      <c r="D237" s="72"/>
      <c r="E237" s="72"/>
      <c r="F237" s="72"/>
      <c r="G237" s="72"/>
      <c r="H237" s="72"/>
      <c r="I237" s="72"/>
      <c r="J237" s="72"/>
      <c r="K237" s="72"/>
      <c r="L237" s="73"/>
      <c r="M237" s="73"/>
      <c r="N237" s="73"/>
      <c r="O237" s="73"/>
    </row>
    <row r="238" spans="1:16" s="15" customFormat="1" ht="7.5" customHeight="1" x14ac:dyDescent="0.2">
      <c r="B238" s="20"/>
      <c r="C238" s="20"/>
      <c r="D238" s="20"/>
      <c r="E238" s="20"/>
      <c r="F238" s="20"/>
      <c r="G238" s="20"/>
      <c r="H238" s="20"/>
      <c r="I238" s="20"/>
      <c r="J238" s="20"/>
      <c r="K238" s="20"/>
      <c r="L238" s="20"/>
      <c r="M238" s="20"/>
      <c r="N238" s="20"/>
      <c r="O238" s="20"/>
    </row>
    <row r="239" spans="1:16" s="15" customFormat="1" ht="14.25" customHeight="1" x14ac:dyDescent="0.2">
      <c r="B239" s="20"/>
      <c r="C239" s="20"/>
      <c r="D239" s="20"/>
      <c r="E239" s="20"/>
      <c r="F239" s="20"/>
      <c r="G239" s="20"/>
      <c r="H239" s="20"/>
      <c r="I239" s="20"/>
      <c r="J239" s="20"/>
      <c r="K239" s="20"/>
      <c r="L239" s="20"/>
      <c r="M239" s="20"/>
      <c r="N239" s="20"/>
      <c r="O239" s="20"/>
    </row>
    <row r="240" spans="1:16" s="15" customFormat="1" ht="54" customHeight="1" x14ac:dyDescent="0.2">
      <c r="A240" s="78" t="str">
        <f>TEXT(DATE(CalendarYear,8,1),"mmmm")</f>
        <v>August</v>
      </c>
      <c r="B240" s="78"/>
      <c r="C240" s="78"/>
      <c r="D240" s="78"/>
      <c r="E240" s="78"/>
      <c r="F240" s="78"/>
      <c r="G240" s="78"/>
      <c r="H240" s="17"/>
      <c r="I240" s="18"/>
      <c r="J240" s="18"/>
      <c r="K240" s="16"/>
      <c r="L240" s="76">
        <f>CalendarYear</f>
        <v>2019</v>
      </c>
      <c r="M240" s="76"/>
      <c r="N240" s="76"/>
      <c r="O240" s="76"/>
      <c r="P240" s="76"/>
    </row>
    <row r="241" spans="1:22" s="15" customFormat="1" ht="18.95" customHeight="1" x14ac:dyDescent="0.35">
      <c r="A241" s="3"/>
      <c r="B241" s="1"/>
      <c r="C241" s="1"/>
      <c r="D241" s="1"/>
      <c r="E241" s="2"/>
      <c r="F241" s="2"/>
      <c r="G241" s="2"/>
      <c r="H241" s="4"/>
      <c r="I241" s="4"/>
      <c r="J241" s="4"/>
    </row>
    <row r="242" spans="1:22" s="15" customFormat="1" ht="18.95" customHeight="1" x14ac:dyDescent="0.35">
      <c r="A242" s="3"/>
      <c r="B242" s="1"/>
      <c r="C242" s="1"/>
      <c r="D242" s="1"/>
      <c r="E242" s="2"/>
      <c r="F242" s="2"/>
      <c r="G242" s="2"/>
      <c r="H242" s="4"/>
      <c r="I242" s="4"/>
      <c r="J242" s="4"/>
    </row>
    <row r="243" spans="1:22" s="15" customFormat="1" ht="18.95" customHeight="1" x14ac:dyDescent="0.35">
      <c r="A243" s="3"/>
      <c r="B243" s="1"/>
      <c r="C243" s="1"/>
      <c r="D243" s="1"/>
      <c r="E243" s="2"/>
      <c r="F243" s="2"/>
      <c r="G243" s="2"/>
      <c r="H243" s="4"/>
      <c r="I243" s="4"/>
      <c r="J243" s="4"/>
    </row>
    <row r="244" spans="1:22" s="15" customFormat="1" ht="18.95" customHeight="1" x14ac:dyDescent="0.35">
      <c r="A244" s="3"/>
      <c r="B244" s="1"/>
      <c r="C244" s="1"/>
      <c r="D244" s="1"/>
      <c r="E244" s="2"/>
      <c r="F244" s="2"/>
      <c r="G244" s="2"/>
      <c r="H244" s="4"/>
      <c r="I244" s="4"/>
      <c r="J244" s="4"/>
    </row>
    <row r="245" spans="1:22" s="15" customFormat="1" ht="18.95" customHeight="1" x14ac:dyDescent="0.35">
      <c r="A245" s="3"/>
      <c r="B245" s="1"/>
      <c r="C245" s="1"/>
      <c r="D245" s="1"/>
      <c r="E245" s="2"/>
      <c r="F245" s="2"/>
      <c r="G245" s="2"/>
      <c r="H245" s="4"/>
      <c r="I245" s="4"/>
      <c r="J245" s="4"/>
    </row>
    <row r="246" spans="1:22" s="15" customFormat="1" ht="18.95" customHeight="1" x14ac:dyDescent="0.35">
      <c r="A246" s="3"/>
      <c r="B246" s="1"/>
      <c r="C246" s="1"/>
      <c r="D246" s="1"/>
      <c r="E246" s="2"/>
      <c r="F246" s="2"/>
      <c r="G246" s="2"/>
      <c r="H246" s="4"/>
      <c r="I246" s="4"/>
      <c r="J246" s="4"/>
    </row>
    <row r="247" spans="1:22" s="15" customFormat="1" ht="18.95" customHeight="1" x14ac:dyDescent="0.35">
      <c r="A247" s="3"/>
      <c r="B247" s="1"/>
      <c r="C247" s="1"/>
      <c r="D247" s="1"/>
      <c r="E247" s="2"/>
      <c r="F247" s="2"/>
      <c r="G247" s="2"/>
      <c r="H247" s="4"/>
      <c r="I247" s="4"/>
      <c r="J247" s="4"/>
    </row>
    <row r="248" spans="1:22" s="15" customFormat="1" ht="18.95" customHeight="1" x14ac:dyDescent="0.35">
      <c r="A248" s="3"/>
      <c r="B248" s="1"/>
      <c r="C248" s="1"/>
      <c r="D248" s="1"/>
      <c r="E248" s="2"/>
      <c r="F248" s="2"/>
      <c r="G248" s="2"/>
      <c r="H248" s="4"/>
      <c r="I248" s="4"/>
      <c r="J248" s="4"/>
    </row>
    <row r="249" spans="1:22" s="15" customFormat="1" ht="18.95" customHeight="1" x14ac:dyDescent="0.35">
      <c r="A249" s="3"/>
      <c r="B249" s="1"/>
      <c r="C249" s="1"/>
      <c r="D249" s="1"/>
      <c r="E249" s="2"/>
      <c r="F249" s="2"/>
      <c r="G249" s="2"/>
      <c r="H249" s="4"/>
      <c r="I249" s="4"/>
      <c r="J249" s="4"/>
    </row>
    <row r="250" spans="1:22" s="15" customFormat="1" ht="18.95" customHeight="1" x14ac:dyDescent="0.35">
      <c r="A250" s="3"/>
      <c r="B250" s="1"/>
      <c r="C250" s="1"/>
      <c r="D250" s="1"/>
      <c r="E250" s="2"/>
      <c r="F250" s="2"/>
      <c r="G250" s="2"/>
      <c r="H250" s="4"/>
      <c r="I250" s="4"/>
      <c r="J250" s="4"/>
    </row>
    <row r="251" spans="1:22" s="15" customFormat="1" ht="18.95" customHeight="1" x14ac:dyDescent="0.35">
      <c r="A251" s="3"/>
      <c r="B251" s="1"/>
      <c r="C251" s="1"/>
      <c r="D251" s="1"/>
      <c r="E251" s="2"/>
      <c r="F251" s="2"/>
      <c r="G251" s="2"/>
      <c r="H251" s="4"/>
      <c r="I251" s="4"/>
      <c r="J251" s="4"/>
    </row>
    <row r="252" spans="1:22" s="15" customFormat="1" ht="18.95" customHeight="1" x14ac:dyDescent="0.35">
      <c r="A252" s="3"/>
      <c r="B252" s="1"/>
      <c r="C252" s="1"/>
      <c r="D252" s="1"/>
      <c r="E252" s="2"/>
      <c r="F252" s="2"/>
      <c r="G252" s="2"/>
      <c r="H252" s="4"/>
      <c r="I252" s="4"/>
      <c r="J252" s="4"/>
    </row>
    <row r="253" spans="1:22" s="15" customFormat="1" ht="18.95" customHeight="1" x14ac:dyDescent="0.35">
      <c r="A253" s="3"/>
      <c r="B253" s="1"/>
      <c r="C253" s="1"/>
      <c r="D253" s="1"/>
      <c r="E253" s="2"/>
      <c r="F253" s="2"/>
      <c r="G253" s="2"/>
      <c r="H253" s="4"/>
      <c r="I253" s="4"/>
      <c r="J253" s="4"/>
    </row>
    <row r="254" spans="1:22" s="15" customFormat="1" ht="18.95" customHeight="1" x14ac:dyDescent="0.35">
      <c r="A254" s="3"/>
      <c r="B254" s="1"/>
      <c r="C254" s="1"/>
      <c r="D254" s="1"/>
      <c r="E254" s="2"/>
      <c r="F254" s="2"/>
      <c r="G254" s="2"/>
      <c r="H254" s="4"/>
      <c r="I254" s="4"/>
      <c r="J254" s="4"/>
    </row>
    <row r="255" spans="1:22" s="15" customFormat="1" ht="18.95" customHeight="1" x14ac:dyDescent="0.25">
      <c r="A255" s="6"/>
      <c r="B255" s="7"/>
      <c r="C255" s="7"/>
      <c r="D255" s="7"/>
      <c r="E255" s="7"/>
      <c r="F255" s="7"/>
      <c r="G255" s="7"/>
      <c r="H255" s="7"/>
      <c r="I255" s="7"/>
      <c r="J255" s="7"/>
      <c r="K255" s="7"/>
      <c r="L255" s="7"/>
      <c r="M255" s="7"/>
      <c r="N255" s="7"/>
      <c r="O255" s="7"/>
    </row>
    <row r="256" spans="1:22" s="6" customFormat="1" ht="27" customHeight="1" x14ac:dyDescent="0.25">
      <c r="B256" s="77" t="s">
        <v>0</v>
      </c>
      <c r="C256" s="77"/>
      <c r="D256" s="77" t="s">
        <v>1</v>
      </c>
      <c r="E256" s="77"/>
      <c r="F256" s="77" t="s">
        <v>2</v>
      </c>
      <c r="G256" s="77"/>
      <c r="H256" s="77" t="s">
        <v>3</v>
      </c>
      <c r="I256" s="77"/>
      <c r="J256" s="77" t="s">
        <v>4</v>
      </c>
      <c r="K256" s="77"/>
      <c r="L256" s="77" t="s">
        <v>5</v>
      </c>
      <c r="M256" s="77"/>
      <c r="N256" s="77" t="s">
        <v>6</v>
      </c>
      <c r="O256" s="77"/>
      <c r="P256" s="15"/>
      <c r="Q256" s="8"/>
      <c r="U256" s="15"/>
      <c r="V256" s="15"/>
    </row>
    <row r="257" spans="1:22" s="9" customFormat="1" ht="16.5" customHeight="1" x14ac:dyDescent="0.25">
      <c r="B257" s="33"/>
      <c r="C257" s="22">
        <f>IF(DAY(AugSun1)=1,AugSun1-6,AugSun1+1)</f>
        <v>43675</v>
      </c>
      <c r="D257" s="34"/>
      <c r="E257" s="22">
        <f>IF(DAY(AugSun1)=1,AugSun1-5,AugSun1+2)</f>
        <v>43676</v>
      </c>
      <c r="F257" s="34"/>
      <c r="G257" s="22">
        <f>IF(DAY(AugSun1)=1,AugSun1-4,AugSun1+3)</f>
        <v>43677</v>
      </c>
      <c r="H257" s="34"/>
      <c r="I257" s="46">
        <f>IF(DAY(AugSun1)=1,AugSun1-3,AugSun1+4)</f>
        <v>43678</v>
      </c>
      <c r="J257" s="34"/>
      <c r="K257" s="46">
        <f>IF(DAY(AugSun1)=1,AugSun1-2,AugSun1+5)</f>
        <v>43679</v>
      </c>
      <c r="L257" s="34"/>
      <c r="M257" s="46">
        <f>IF(DAY(AugSun1)=1,AugSun1-1,AugSun1+6)</f>
        <v>43680</v>
      </c>
      <c r="N257" s="34"/>
      <c r="O257" s="46">
        <f>IF(DAY(AugSun1)=1,AugSun1,AugSun1+7)</f>
        <v>43681</v>
      </c>
      <c r="P257" s="10"/>
      <c r="Q257" s="10"/>
      <c r="U257" s="11"/>
      <c r="V257" s="10"/>
    </row>
    <row r="258" spans="1:22" s="12" customFormat="1" ht="55.5" customHeight="1" x14ac:dyDescent="0.25">
      <c r="A258" s="6"/>
      <c r="B258" s="74"/>
      <c r="C258" s="75"/>
      <c r="D258" s="75"/>
      <c r="E258" s="75"/>
      <c r="F258" s="75"/>
      <c r="G258" s="75"/>
      <c r="H258" s="75"/>
      <c r="I258" s="75"/>
      <c r="J258" s="75"/>
      <c r="K258" s="75"/>
      <c r="L258" s="71"/>
      <c r="M258" s="71"/>
      <c r="N258" s="71"/>
      <c r="O258" s="71"/>
    </row>
    <row r="259" spans="1:22" s="12" customFormat="1" ht="8.25" customHeight="1" x14ac:dyDescent="0.25">
      <c r="A259" s="6"/>
      <c r="B259" s="72"/>
      <c r="C259" s="72"/>
      <c r="D259" s="72"/>
      <c r="E259" s="72"/>
      <c r="F259" s="72"/>
      <c r="G259" s="72"/>
      <c r="H259" s="72"/>
      <c r="I259" s="72"/>
      <c r="J259" s="72"/>
      <c r="K259" s="72"/>
      <c r="L259" s="73"/>
      <c r="M259" s="73"/>
      <c r="N259" s="73"/>
      <c r="O259" s="73"/>
    </row>
    <row r="260" spans="1:22" s="10" customFormat="1" ht="16.5" customHeight="1" x14ac:dyDescent="0.25">
      <c r="A260" s="9"/>
      <c r="B260" s="35"/>
      <c r="C260" s="46">
        <f>IF(DAY(AugSun1)=1,AugSun1+1,AugSun1+8)</f>
        <v>43682</v>
      </c>
      <c r="D260" s="34"/>
      <c r="E260" s="46">
        <f>IF(DAY(AugSun1)=1,AugSun1+2,AugSun1+9)</f>
        <v>43683</v>
      </c>
      <c r="F260" s="34"/>
      <c r="G260" s="22">
        <f>IF(DAY(AugSun1)=1,AugSun1+3,AugSun1+10)</f>
        <v>43684</v>
      </c>
      <c r="H260" s="34"/>
      <c r="I260" s="46">
        <f>IF(DAY(AugSun1)=1,AugSun1+4,AugSun1+11)</f>
        <v>43685</v>
      </c>
      <c r="J260" s="34"/>
      <c r="K260" s="46">
        <f>IF(DAY(AugSun1)=1,AugSun1+5,AugSun1+12)</f>
        <v>43686</v>
      </c>
      <c r="L260" s="34"/>
      <c r="M260" s="46">
        <f>IF(DAY(AugSun1)=1,AugSun1+6,AugSun1+13)</f>
        <v>43687</v>
      </c>
      <c r="N260" s="34"/>
      <c r="O260" s="46">
        <f>IF(DAY(AugSun1)=1,AugSun1+7,AugSun1+14)</f>
        <v>43688</v>
      </c>
    </row>
    <row r="261" spans="1:22" s="15" customFormat="1" ht="55.5" customHeight="1" x14ac:dyDescent="0.25">
      <c r="A261" s="6"/>
      <c r="B261" s="74"/>
      <c r="C261" s="75"/>
      <c r="D261" s="75"/>
      <c r="E261" s="75"/>
      <c r="F261" s="75" t="s">
        <v>7</v>
      </c>
      <c r="G261" s="75"/>
      <c r="H261" s="75"/>
      <c r="I261" s="75"/>
      <c r="J261" s="75"/>
      <c r="K261" s="75"/>
      <c r="L261" s="71"/>
      <c r="M261" s="71"/>
      <c r="N261" s="71"/>
      <c r="O261" s="71"/>
    </row>
    <row r="262" spans="1:22" s="15" customFormat="1" ht="8.25" customHeight="1" x14ac:dyDescent="0.25">
      <c r="A262" s="6"/>
      <c r="B262" s="72"/>
      <c r="C262" s="72"/>
      <c r="D262" s="72"/>
      <c r="E262" s="72"/>
      <c r="F262" s="72"/>
      <c r="G262" s="72"/>
      <c r="H262" s="72"/>
      <c r="I262" s="72"/>
      <c r="J262" s="72"/>
      <c r="K262" s="72"/>
      <c r="L262" s="73"/>
      <c r="M262" s="73"/>
      <c r="N262" s="73"/>
      <c r="O262" s="73"/>
    </row>
    <row r="263" spans="1:22" s="10" customFormat="1" ht="16.5" customHeight="1" x14ac:dyDescent="0.25">
      <c r="A263" s="9"/>
      <c r="B263" s="35"/>
      <c r="C263" s="46">
        <f>IF(DAY(AugSun1)=1,AugSun1+8,AugSun1+15)</f>
        <v>43689</v>
      </c>
      <c r="D263" s="34"/>
      <c r="E263" s="46">
        <f>IF(DAY(AugSun1)=1,AugSun1+9,AugSun1+16)</f>
        <v>43690</v>
      </c>
      <c r="F263" s="34"/>
      <c r="G263" s="46">
        <f>IF(DAY(AugSun1)=1,AugSun1+10,AugSun1+17)</f>
        <v>43691</v>
      </c>
      <c r="H263" s="34"/>
      <c r="I263" s="46">
        <f>IF(DAY(AugSun1)=1,AugSun1+11,AugSun1+18)</f>
        <v>43692</v>
      </c>
      <c r="J263" s="34"/>
      <c r="K263" s="46">
        <f>IF(DAY(AugSun1)=1,AugSun1+12,AugSun1+19)</f>
        <v>43693</v>
      </c>
      <c r="L263" s="34"/>
      <c r="M263" s="46">
        <f>IF(DAY(AugSun1)=1,AugSun1+13,AugSun1+20)</f>
        <v>43694</v>
      </c>
      <c r="N263" s="34"/>
      <c r="O263" s="46">
        <f>IF(DAY(AugSun1)=1,AugSun1+14,AugSun1+21)</f>
        <v>43695</v>
      </c>
    </row>
    <row r="264" spans="1:22" s="15" customFormat="1" ht="55.5" customHeight="1" x14ac:dyDescent="0.25">
      <c r="A264" s="6"/>
      <c r="B264" s="74"/>
      <c r="C264" s="75"/>
      <c r="D264" s="75"/>
      <c r="E264" s="75"/>
      <c r="F264" s="75"/>
      <c r="G264" s="75"/>
      <c r="H264" s="75"/>
      <c r="I264" s="75"/>
      <c r="J264" s="75"/>
      <c r="K264" s="75"/>
      <c r="L264" s="71"/>
      <c r="M264" s="71"/>
      <c r="N264" s="71"/>
      <c r="O264" s="71"/>
    </row>
    <row r="265" spans="1:22" s="15" customFormat="1" ht="8.25" customHeight="1" x14ac:dyDescent="0.25">
      <c r="A265" s="6"/>
      <c r="B265" s="72"/>
      <c r="C265" s="72"/>
      <c r="D265" s="72"/>
      <c r="E265" s="72"/>
      <c r="F265" s="72"/>
      <c r="G265" s="72"/>
      <c r="H265" s="72"/>
      <c r="I265" s="72"/>
      <c r="J265" s="72"/>
      <c r="K265" s="72"/>
      <c r="L265" s="73"/>
      <c r="M265" s="73"/>
      <c r="N265" s="73"/>
      <c r="O265" s="73"/>
    </row>
    <row r="266" spans="1:22" s="10" customFormat="1" ht="16.5" customHeight="1" x14ac:dyDescent="0.25">
      <c r="A266" s="9"/>
      <c r="B266" s="34"/>
      <c r="C266" s="46">
        <f>IF(DAY(AugSun1)=1,AugSun1+15,AugSun1+22)</f>
        <v>43696</v>
      </c>
      <c r="D266" s="34"/>
      <c r="E266" s="46">
        <f>IF(DAY(AugSun1)=1,AugSun1+16,AugSun1+23)</f>
        <v>43697</v>
      </c>
      <c r="F266" s="34"/>
      <c r="G266" s="46">
        <f>IF(DAY(AugSun1)=1,AugSun1+17,AugSun1+24)</f>
        <v>43698</v>
      </c>
      <c r="H266" s="34"/>
      <c r="I266" s="46">
        <f>IF(DAY(AugSun1)=1,AugSun1+18,AugSun1+25)</f>
        <v>43699</v>
      </c>
      <c r="J266" s="34"/>
      <c r="K266" s="46">
        <f>IF(DAY(AugSun1)=1,AugSun1+19,AugSun1+26)</f>
        <v>43700</v>
      </c>
      <c r="L266" s="34"/>
      <c r="M266" s="46">
        <f>IF(DAY(AugSun1)=1,AugSun1+20,AugSun1+27)</f>
        <v>43701</v>
      </c>
      <c r="N266" s="34"/>
      <c r="O266" s="46">
        <f>IF(DAY(AugSun1)=1,AugSun1+21,AugSun1+28)</f>
        <v>43702</v>
      </c>
    </row>
    <row r="267" spans="1:22" s="15" customFormat="1" ht="55.5" customHeight="1" x14ac:dyDescent="0.25">
      <c r="A267" s="6"/>
      <c r="B267" s="74"/>
      <c r="C267" s="75"/>
      <c r="D267" s="75"/>
      <c r="E267" s="75"/>
      <c r="F267" s="75"/>
      <c r="G267" s="75"/>
      <c r="H267" s="75"/>
      <c r="I267" s="75"/>
      <c r="J267" s="75"/>
      <c r="K267" s="75"/>
      <c r="L267" s="71"/>
      <c r="M267" s="71"/>
      <c r="N267" s="71"/>
      <c r="O267" s="71"/>
    </row>
    <row r="268" spans="1:22" s="15" customFormat="1" ht="8.25" customHeight="1" x14ac:dyDescent="0.25">
      <c r="A268" s="6"/>
      <c r="B268" s="72"/>
      <c r="C268" s="72"/>
      <c r="D268" s="72"/>
      <c r="E268" s="72"/>
      <c r="F268" s="72"/>
      <c r="G268" s="72"/>
      <c r="H268" s="72"/>
      <c r="I268" s="72"/>
      <c r="J268" s="72"/>
      <c r="K268" s="72"/>
      <c r="L268" s="73"/>
      <c r="M268" s="73"/>
      <c r="N268" s="73"/>
      <c r="O268" s="73"/>
    </row>
    <row r="269" spans="1:22" s="10" customFormat="1" ht="16.5" customHeight="1" x14ac:dyDescent="0.25">
      <c r="A269" s="9"/>
      <c r="B269" s="34"/>
      <c r="C269" s="46">
        <f>IF(DAY(AugSun1)=1,AugSun1+22,AugSun1+29)</f>
        <v>43703</v>
      </c>
      <c r="D269" s="34"/>
      <c r="E269" s="46">
        <f>IF(DAY(AugSun1)=1,AugSun1+23,AugSun1+30)</f>
        <v>43704</v>
      </c>
      <c r="F269" s="34"/>
      <c r="G269" s="46">
        <f>IF(DAY(AugSun1)=1,AugSun1+24,AugSun1+31)</f>
        <v>43705</v>
      </c>
      <c r="H269" s="34"/>
      <c r="I269" s="46">
        <f>IF(DAY(AugSun1)=1,AugSun1+25,AugSun1+32)</f>
        <v>43706</v>
      </c>
      <c r="J269" s="34"/>
      <c r="K269" s="46">
        <f>IF(DAY(AugSun1)=1,AugSun1+26,AugSun1+33)</f>
        <v>43707</v>
      </c>
      <c r="L269" s="34"/>
      <c r="M269" s="46">
        <f>IF(DAY(AugSun1)=1,AugSun1+27,AugSun1+34)</f>
        <v>43708</v>
      </c>
      <c r="N269" s="34"/>
      <c r="O269" s="22">
        <f>IF(DAY(AugSun1)=1,AugSun1+28,AugSun1+35)</f>
        <v>43709</v>
      </c>
    </row>
    <row r="270" spans="1:22" s="15" customFormat="1" ht="55.5" customHeight="1" x14ac:dyDescent="0.25">
      <c r="A270" s="6"/>
      <c r="B270" s="74"/>
      <c r="C270" s="75"/>
      <c r="D270" s="75"/>
      <c r="E270" s="75"/>
      <c r="F270" s="75"/>
      <c r="G270" s="75"/>
      <c r="H270" s="75"/>
      <c r="I270" s="75"/>
      <c r="J270" s="75"/>
      <c r="K270" s="75"/>
      <c r="L270" s="71"/>
      <c r="M270" s="71"/>
      <c r="N270" s="71"/>
      <c r="O270" s="71"/>
    </row>
    <row r="271" spans="1:22" s="15" customFormat="1" ht="8.25" customHeight="1" x14ac:dyDescent="0.25">
      <c r="A271" s="6"/>
      <c r="B271" s="72"/>
      <c r="C271" s="72"/>
      <c r="D271" s="72"/>
      <c r="E271" s="72"/>
      <c r="F271" s="72"/>
      <c r="G271" s="72"/>
      <c r="H271" s="72"/>
      <c r="I271" s="72"/>
      <c r="J271" s="72"/>
      <c r="K271" s="72"/>
      <c r="L271" s="73"/>
      <c r="M271" s="73"/>
      <c r="N271" s="73"/>
      <c r="O271" s="73"/>
    </row>
    <row r="272" spans="1:22" s="15" customFormat="1" ht="7.5" customHeight="1" x14ac:dyDescent="0.2">
      <c r="B272" s="20"/>
      <c r="C272" s="20"/>
      <c r="D272" s="20"/>
      <c r="E272" s="20"/>
      <c r="F272" s="20"/>
      <c r="G272" s="20"/>
      <c r="H272" s="20"/>
      <c r="I272" s="20"/>
      <c r="J272" s="20"/>
      <c r="K272" s="20"/>
      <c r="L272" s="20"/>
      <c r="M272" s="20"/>
      <c r="N272" s="20"/>
      <c r="O272" s="20"/>
    </row>
    <row r="273" spans="1:16" s="15" customFormat="1" x14ac:dyDescent="0.2"/>
    <row r="274" spans="1:16" s="15" customFormat="1" ht="54" customHeight="1" x14ac:dyDescent="0.2">
      <c r="A274" s="81" t="str">
        <f>TEXT(DATE(CalendarYear,9,1),"mmmm")</f>
        <v>September</v>
      </c>
      <c r="B274" s="81"/>
      <c r="C274" s="81"/>
      <c r="D274" s="81"/>
      <c r="E274" s="81"/>
      <c r="F274" s="81"/>
      <c r="G274" s="81"/>
      <c r="H274" s="13"/>
      <c r="I274" s="4"/>
      <c r="J274" s="4"/>
      <c r="L274" s="79">
        <f>CalendarYear</f>
        <v>2019</v>
      </c>
      <c r="M274" s="79"/>
      <c r="N274" s="79"/>
      <c r="O274" s="79"/>
      <c r="P274" s="79"/>
    </row>
    <row r="275" spans="1:16" s="15" customFormat="1" ht="18.95" customHeight="1" x14ac:dyDescent="0.35">
      <c r="A275" s="3"/>
      <c r="B275" s="1"/>
      <c r="C275" s="1"/>
      <c r="D275" s="1"/>
      <c r="E275" s="2"/>
      <c r="F275" s="2"/>
      <c r="G275" s="2"/>
      <c r="H275" s="4"/>
      <c r="I275" s="4"/>
      <c r="J275" s="4"/>
    </row>
    <row r="276" spans="1:16" s="15" customFormat="1" ht="18.95" customHeight="1" x14ac:dyDescent="0.35">
      <c r="A276" s="3"/>
      <c r="B276" s="1"/>
      <c r="C276" s="1"/>
      <c r="D276" s="1"/>
      <c r="E276" s="2"/>
      <c r="F276" s="2"/>
      <c r="G276" s="2"/>
      <c r="H276" s="4"/>
      <c r="I276" s="4"/>
      <c r="J276" s="4"/>
    </row>
    <row r="277" spans="1:16" s="15" customFormat="1" ht="18.95" customHeight="1" x14ac:dyDescent="0.35">
      <c r="A277" s="3"/>
      <c r="B277" s="1"/>
      <c r="C277" s="1"/>
      <c r="D277" s="1"/>
      <c r="E277" s="2"/>
      <c r="F277" s="2"/>
      <c r="G277" s="2"/>
      <c r="H277" s="4"/>
      <c r="I277" s="4"/>
      <c r="J277" s="4"/>
    </row>
    <row r="278" spans="1:16" s="15" customFormat="1" ht="18.95" customHeight="1" x14ac:dyDescent="0.35">
      <c r="A278" s="3"/>
      <c r="B278" s="1"/>
      <c r="C278" s="1"/>
      <c r="D278" s="1"/>
      <c r="E278" s="2"/>
      <c r="F278" s="2"/>
      <c r="G278" s="2"/>
      <c r="H278" s="4"/>
      <c r="I278" s="4"/>
      <c r="J278" s="4"/>
    </row>
    <row r="279" spans="1:16" s="15" customFormat="1" ht="18.95" customHeight="1" x14ac:dyDescent="0.35">
      <c r="A279" s="3"/>
      <c r="B279" s="1"/>
      <c r="C279" s="1"/>
      <c r="D279" s="1"/>
      <c r="E279" s="2"/>
      <c r="F279" s="2"/>
      <c r="G279" s="2"/>
      <c r="H279" s="4"/>
      <c r="I279" s="4"/>
      <c r="J279" s="4"/>
    </row>
    <row r="280" spans="1:16" s="15" customFormat="1" ht="18.95" customHeight="1" x14ac:dyDescent="0.35">
      <c r="A280" s="3"/>
      <c r="B280" s="1"/>
      <c r="C280" s="1"/>
      <c r="D280" s="1"/>
      <c r="E280" s="2"/>
      <c r="F280" s="2"/>
      <c r="G280" s="2"/>
      <c r="H280" s="4"/>
      <c r="I280" s="4"/>
      <c r="J280" s="4"/>
    </row>
    <row r="281" spans="1:16" s="15" customFormat="1" ht="18.95" customHeight="1" x14ac:dyDescent="0.35">
      <c r="A281" s="3"/>
      <c r="B281" s="1"/>
      <c r="C281" s="1"/>
      <c r="D281" s="1"/>
      <c r="E281" s="2"/>
      <c r="F281" s="2"/>
      <c r="G281" s="2"/>
      <c r="H281" s="4"/>
      <c r="I281" s="4"/>
      <c r="J281" s="4"/>
    </row>
    <row r="282" spans="1:16" s="15" customFormat="1" ht="18.95" customHeight="1" x14ac:dyDescent="0.35">
      <c r="A282" s="3"/>
      <c r="B282" s="1"/>
      <c r="C282" s="1"/>
      <c r="D282" s="1"/>
      <c r="E282" s="2"/>
      <c r="F282" s="2"/>
      <c r="G282" s="2"/>
      <c r="H282" s="4"/>
      <c r="I282" s="4"/>
      <c r="J282" s="4"/>
    </row>
    <row r="283" spans="1:16" s="15" customFormat="1" ht="18.95" customHeight="1" x14ac:dyDescent="0.35">
      <c r="A283" s="3"/>
      <c r="B283" s="1"/>
      <c r="C283" s="1"/>
      <c r="D283" s="1"/>
      <c r="E283" s="2"/>
      <c r="F283" s="2"/>
      <c r="G283" s="2"/>
      <c r="H283" s="4"/>
      <c r="I283" s="4"/>
      <c r="J283" s="4"/>
    </row>
    <row r="284" spans="1:16" s="15" customFormat="1" ht="18.95" customHeight="1" x14ac:dyDescent="0.35">
      <c r="A284" s="3"/>
      <c r="B284" s="1"/>
      <c r="C284" s="1"/>
      <c r="D284" s="1"/>
      <c r="E284" s="2"/>
      <c r="F284" s="2"/>
      <c r="G284" s="2"/>
      <c r="H284" s="4"/>
      <c r="I284" s="4"/>
      <c r="J284" s="4"/>
    </row>
    <row r="285" spans="1:16" s="15" customFormat="1" ht="18.95" customHeight="1" x14ac:dyDescent="0.35">
      <c r="A285" s="3"/>
      <c r="B285" s="1"/>
      <c r="C285" s="1"/>
      <c r="D285" s="1"/>
      <c r="E285" s="2"/>
      <c r="F285" s="2"/>
      <c r="G285" s="2"/>
      <c r="H285" s="4"/>
      <c r="I285" s="4"/>
      <c r="J285" s="4"/>
    </row>
    <row r="286" spans="1:16" s="15" customFormat="1" ht="18.95" customHeight="1" x14ac:dyDescent="0.35">
      <c r="A286" s="3"/>
      <c r="B286" s="1"/>
      <c r="C286" s="1"/>
      <c r="D286" s="1"/>
      <c r="E286" s="2"/>
      <c r="F286" s="2"/>
      <c r="G286" s="2"/>
      <c r="H286" s="4"/>
      <c r="I286" s="4"/>
      <c r="J286" s="4"/>
    </row>
    <row r="287" spans="1:16" s="15" customFormat="1" ht="18.95" customHeight="1" x14ac:dyDescent="0.35">
      <c r="A287" s="3"/>
      <c r="B287" s="1"/>
      <c r="C287" s="1"/>
      <c r="D287" s="1"/>
      <c r="E287" s="2"/>
      <c r="F287" s="2"/>
      <c r="G287" s="2"/>
      <c r="H287" s="4"/>
      <c r="I287" s="4"/>
      <c r="J287" s="4"/>
    </row>
    <row r="288" spans="1:16" s="15" customFormat="1" ht="18.95" customHeight="1" x14ac:dyDescent="0.35">
      <c r="A288" s="3"/>
      <c r="B288" s="1"/>
      <c r="C288" s="1"/>
      <c r="D288" s="1"/>
      <c r="E288" s="2"/>
      <c r="F288" s="2"/>
      <c r="G288" s="2"/>
      <c r="H288" s="4"/>
      <c r="I288" s="4"/>
      <c r="J288" s="4"/>
    </row>
    <row r="289" spans="1:22" s="15" customFormat="1" ht="18.95" customHeight="1" x14ac:dyDescent="0.25">
      <c r="A289" s="6"/>
      <c r="B289" s="7"/>
      <c r="C289" s="7"/>
      <c r="D289" s="7"/>
      <c r="E289" s="7"/>
      <c r="F289" s="7"/>
      <c r="G289" s="7"/>
      <c r="H289" s="7"/>
      <c r="I289" s="7"/>
      <c r="J289" s="7"/>
      <c r="K289" s="7"/>
      <c r="L289" s="7"/>
      <c r="M289" s="7"/>
      <c r="N289" s="7"/>
      <c r="O289" s="7"/>
    </row>
    <row r="290" spans="1:22" s="6" customFormat="1" ht="27" customHeight="1" x14ac:dyDescent="0.25">
      <c r="B290" s="80" t="s">
        <v>0</v>
      </c>
      <c r="C290" s="80"/>
      <c r="D290" s="80" t="s">
        <v>1</v>
      </c>
      <c r="E290" s="80"/>
      <c r="F290" s="80" t="s">
        <v>2</v>
      </c>
      <c r="G290" s="80"/>
      <c r="H290" s="80" t="s">
        <v>3</v>
      </c>
      <c r="I290" s="80"/>
      <c r="J290" s="80" t="s">
        <v>4</v>
      </c>
      <c r="K290" s="80"/>
      <c r="L290" s="80" t="s">
        <v>5</v>
      </c>
      <c r="M290" s="80"/>
      <c r="N290" s="80" t="s">
        <v>6</v>
      </c>
      <c r="O290" s="80"/>
      <c r="P290" s="15"/>
      <c r="Q290" s="8"/>
      <c r="U290" s="15"/>
      <c r="V290" s="15"/>
    </row>
    <row r="291" spans="1:22" s="9" customFormat="1" ht="16.5" customHeight="1" x14ac:dyDescent="0.25">
      <c r="B291" s="29"/>
      <c r="C291" s="23">
        <f>IF(DAY(SepSun1)=1,SepSun1-6,SepSun1+1)</f>
        <v>43703</v>
      </c>
      <c r="D291" s="30"/>
      <c r="E291" s="23">
        <f>IF(DAY(SepSun1)=1,SepSun1-5,SepSun1+2)</f>
        <v>43704</v>
      </c>
      <c r="F291" s="30"/>
      <c r="G291" s="23">
        <f>IF(DAY(SepSun1)=1,SepSun1-4,SepSun1+3)</f>
        <v>43705</v>
      </c>
      <c r="H291" s="30"/>
      <c r="I291" s="23">
        <f>IF(DAY(SepSun1)=1,SepSun1-3,SepSun1+4)</f>
        <v>43706</v>
      </c>
      <c r="J291" s="30"/>
      <c r="K291" s="23">
        <f>IF(DAY(SepSun1)=1,SepSun1-2,SepSun1+5)</f>
        <v>43707</v>
      </c>
      <c r="L291" s="30"/>
      <c r="M291" s="23">
        <f>IF(DAY(SepSun1)=1,SepSun1-1,SepSun1+6)</f>
        <v>43708</v>
      </c>
      <c r="N291" s="30"/>
      <c r="O291" s="48">
        <f>IF(DAY(SepSun1)=1,SepSun1,SepSun1+7)</f>
        <v>43709</v>
      </c>
      <c r="P291" s="10"/>
      <c r="Q291" s="10"/>
      <c r="U291" s="11"/>
      <c r="V291" s="10"/>
    </row>
    <row r="292" spans="1:22" s="12" customFormat="1" ht="55.5" customHeight="1" x14ac:dyDescent="0.25">
      <c r="A292" s="6"/>
      <c r="B292" s="85"/>
      <c r="C292" s="86"/>
      <c r="D292" s="86"/>
      <c r="E292" s="86"/>
      <c r="F292" s="86"/>
      <c r="G292" s="86"/>
      <c r="H292" s="86"/>
      <c r="I292" s="86"/>
      <c r="J292" s="86"/>
      <c r="K292" s="86"/>
      <c r="L292" s="82"/>
      <c r="M292" s="82"/>
      <c r="N292" s="82"/>
      <c r="O292" s="82"/>
    </row>
    <row r="293" spans="1:22" s="12" customFormat="1" ht="8.25" customHeight="1" x14ac:dyDescent="0.25">
      <c r="A293" s="6"/>
      <c r="B293" s="83"/>
      <c r="C293" s="83"/>
      <c r="D293" s="83"/>
      <c r="E293" s="83"/>
      <c r="F293" s="83"/>
      <c r="G293" s="83"/>
      <c r="H293" s="83"/>
      <c r="I293" s="83"/>
      <c r="J293" s="83"/>
      <c r="K293" s="83"/>
      <c r="L293" s="84"/>
      <c r="M293" s="84"/>
      <c r="N293" s="84"/>
      <c r="O293" s="84"/>
    </row>
    <row r="294" spans="1:22" s="10" customFormat="1" ht="16.5" customHeight="1" x14ac:dyDescent="0.25">
      <c r="A294" s="9"/>
      <c r="B294" s="30"/>
      <c r="C294" s="48">
        <f>IF(DAY(SepSun1)=1,SepSun1+1,SepSun1+8)</f>
        <v>43710</v>
      </c>
      <c r="D294" s="30"/>
      <c r="E294" s="48">
        <f>IF(DAY(SepSun1)=1,SepSun1+2,SepSun1+9)</f>
        <v>43711</v>
      </c>
      <c r="F294" s="30"/>
      <c r="G294" s="23">
        <f>IF(DAY(SepSun1)=1,SepSun1+3,SepSun1+10)</f>
        <v>43712</v>
      </c>
      <c r="H294" s="30"/>
      <c r="I294" s="48">
        <f>IF(DAY(SepSun1)=1,SepSun1+4,SepSun1+11)</f>
        <v>43713</v>
      </c>
      <c r="J294" s="30"/>
      <c r="K294" s="48">
        <f>IF(DAY(SepSun1)=1,SepSun1+5,SepSun1+12)</f>
        <v>43714</v>
      </c>
      <c r="L294" s="30"/>
      <c r="M294" s="48">
        <f>IF(DAY(SepSun1)=1,SepSun1+6,SepSun1+13)</f>
        <v>43715</v>
      </c>
      <c r="N294" s="30"/>
      <c r="O294" s="48">
        <f>IF(DAY(SepSun1)=1,SepSun1+7,SepSun1+14)</f>
        <v>43716</v>
      </c>
    </row>
    <row r="295" spans="1:22" s="15" customFormat="1" ht="55.5" customHeight="1" x14ac:dyDescent="0.25">
      <c r="A295" s="6"/>
      <c r="B295" s="85"/>
      <c r="C295" s="86"/>
      <c r="D295" s="86"/>
      <c r="E295" s="86"/>
      <c r="F295" s="86" t="s">
        <v>7</v>
      </c>
      <c r="G295" s="86"/>
      <c r="H295" s="86"/>
      <c r="I295" s="86"/>
      <c r="J295" s="86"/>
      <c r="K295" s="86"/>
      <c r="L295" s="82"/>
      <c r="M295" s="82"/>
      <c r="N295" s="82"/>
      <c r="O295" s="82"/>
    </row>
    <row r="296" spans="1:22" s="15" customFormat="1" ht="8.25" customHeight="1" x14ac:dyDescent="0.25">
      <c r="A296" s="6"/>
      <c r="B296" s="83"/>
      <c r="C296" s="83"/>
      <c r="D296" s="83"/>
      <c r="E296" s="83"/>
      <c r="F296" s="83"/>
      <c r="G296" s="83"/>
      <c r="H296" s="83"/>
      <c r="I296" s="83"/>
      <c r="J296" s="83"/>
      <c r="K296" s="83"/>
      <c r="L296" s="84"/>
      <c r="M296" s="84"/>
      <c r="N296" s="84"/>
      <c r="O296" s="84"/>
    </row>
    <row r="297" spans="1:22" s="10" customFormat="1" ht="16.5" customHeight="1" x14ac:dyDescent="0.25">
      <c r="A297" s="9"/>
      <c r="B297" s="30"/>
      <c r="C297" s="48">
        <f>IF(DAY(SepSun1)=1,SepSun1+8,SepSun1+15)</f>
        <v>43717</v>
      </c>
      <c r="D297" s="30"/>
      <c r="E297" s="48">
        <f>IF(DAY(SepSun1)=1,SepSun1+9,SepSun1+16)</f>
        <v>43718</v>
      </c>
      <c r="F297" s="30"/>
      <c r="G297" s="48">
        <f>IF(DAY(SepSun1)=1,SepSun1+10,SepSun1+17)</f>
        <v>43719</v>
      </c>
      <c r="H297" s="30"/>
      <c r="I297" s="48">
        <f>IF(DAY(SepSun1)=1,SepSun1+11,SepSun1+18)</f>
        <v>43720</v>
      </c>
      <c r="J297" s="30"/>
      <c r="K297" s="48">
        <f>IF(DAY(SepSun1)=1,SepSun1+12,SepSun1+19)</f>
        <v>43721</v>
      </c>
      <c r="L297" s="30"/>
      <c r="M297" s="48">
        <f>IF(DAY(SepSun1)=1,SepSun1+13,SepSun1+20)</f>
        <v>43722</v>
      </c>
      <c r="N297" s="30"/>
      <c r="O297" s="48">
        <f>IF(DAY(SepSun1)=1,SepSun1+14,SepSun1+21)</f>
        <v>43723</v>
      </c>
    </row>
    <row r="298" spans="1:22" s="15" customFormat="1" ht="55.5" customHeight="1" x14ac:dyDescent="0.25">
      <c r="A298" s="6"/>
      <c r="B298" s="85"/>
      <c r="C298" s="86"/>
      <c r="D298" s="86"/>
      <c r="E298" s="86"/>
      <c r="F298" s="86"/>
      <c r="G298" s="86"/>
      <c r="H298" s="86"/>
      <c r="I298" s="86"/>
      <c r="J298" s="85"/>
      <c r="K298" s="86"/>
      <c r="L298" s="82"/>
      <c r="M298" s="82"/>
      <c r="N298" s="82"/>
      <c r="O298" s="82"/>
    </row>
    <row r="299" spans="1:22" s="15" customFormat="1" ht="8.25" customHeight="1" x14ac:dyDescent="0.25">
      <c r="A299" s="6"/>
      <c r="B299" s="83"/>
      <c r="C299" s="83"/>
      <c r="D299" s="83"/>
      <c r="E299" s="83"/>
      <c r="F299" s="83"/>
      <c r="G299" s="83"/>
      <c r="H299" s="83"/>
      <c r="I299" s="83"/>
      <c r="J299" s="83"/>
      <c r="K299" s="83"/>
      <c r="L299" s="84"/>
      <c r="M299" s="84"/>
      <c r="N299" s="84"/>
      <c r="O299" s="84"/>
    </row>
    <row r="300" spans="1:22" s="10" customFormat="1" ht="16.5" customHeight="1" x14ac:dyDescent="0.25">
      <c r="A300" s="9"/>
      <c r="B300" s="30"/>
      <c r="C300" s="48">
        <f>IF(DAY(SepSun1)=1,SepSun1+15,SepSun1+22)</f>
        <v>43724</v>
      </c>
      <c r="D300" s="30"/>
      <c r="E300" s="48">
        <f>IF(DAY(SepSun1)=1,SepSun1+16,SepSun1+23)</f>
        <v>43725</v>
      </c>
      <c r="F300" s="30"/>
      <c r="G300" s="48">
        <f>IF(DAY(SepSun1)=1,SepSun1+17,SepSun1+24)</f>
        <v>43726</v>
      </c>
      <c r="H300" s="30"/>
      <c r="I300" s="48">
        <f>IF(DAY(SepSun1)=1,SepSun1+18,SepSun1+25)</f>
        <v>43727</v>
      </c>
      <c r="J300" s="30"/>
      <c r="K300" s="48">
        <f>IF(DAY(SepSun1)=1,SepSun1+19,SepSun1+26)</f>
        <v>43728</v>
      </c>
      <c r="L300" s="30"/>
      <c r="M300" s="48">
        <f>IF(DAY(SepSun1)=1,SepSun1+20,SepSun1+27)</f>
        <v>43729</v>
      </c>
      <c r="N300" s="30"/>
      <c r="O300" s="48">
        <f>IF(DAY(SepSun1)=1,SepSun1+21,SepSun1+28)</f>
        <v>43730</v>
      </c>
    </row>
    <row r="301" spans="1:22" s="15" customFormat="1" ht="55.5" customHeight="1" x14ac:dyDescent="0.25">
      <c r="A301" s="6"/>
      <c r="B301" s="85"/>
      <c r="C301" s="86"/>
      <c r="D301" s="86"/>
      <c r="E301" s="86"/>
      <c r="F301" s="86"/>
      <c r="G301" s="86"/>
      <c r="H301" s="86"/>
      <c r="I301" s="86"/>
      <c r="J301" s="86"/>
      <c r="K301" s="86"/>
      <c r="L301" s="82"/>
      <c r="M301" s="82"/>
      <c r="N301" s="82"/>
      <c r="O301" s="82"/>
    </row>
    <row r="302" spans="1:22" s="15" customFormat="1" ht="8.25" customHeight="1" x14ac:dyDescent="0.25">
      <c r="A302" s="6"/>
      <c r="B302" s="83"/>
      <c r="C302" s="83"/>
      <c r="D302" s="83"/>
      <c r="E302" s="83"/>
      <c r="F302" s="83"/>
      <c r="G302" s="83"/>
      <c r="H302" s="83"/>
      <c r="I302" s="83"/>
      <c r="J302" s="83"/>
      <c r="K302" s="83"/>
      <c r="L302" s="84"/>
      <c r="M302" s="84"/>
      <c r="N302" s="84"/>
      <c r="O302" s="84"/>
    </row>
    <row r="303" spans="1:22" s="10" customFormat="1" ht="16.5" customHeight="1" x14ac:dyDescent="0.25">
      <c r="A303" s="9"/>
      <c r="B303" s="30"/>
      <c r="C303" s="48">
        <f>IF(DAY(SepSun1)=1,SepSun1+22,SepSun1+29)</f>
        <v>43731</v>
      </c>
      <c r="D303" s="30"/>
      <c r="E303" s="48">
        <f>IF(DAY(SepSun1)=1,SepSun1+23,SepSun1+30)</f>
        <v>43732</v>
      </c>
      <c r="F303" s="30"/>
      <c r="G303" s="48">
        <f>IF(DAY(SepSun1)=1,SepSun1+24,SepSun1+31)</f>
        <v>43733</v>
      </c>
      <c r="H303" s="30"/>
      <c r="I303" s="48">
        <f>IF(DAY(SepSun1)=1,SepSun1+25,SepSun1+32)</f>
        <v>43734</v>
      </c>
      <c r="J303" s="30"/>
      <c r="K303" s="48">
        <f>IF(DAY(SepSun1)=1,SepSun1+26,SepSun1+33)</f>
        <v>43735</v>
      </c>
      <c r="L303" s="30"/>
      <c r="M303" s="48">
        <f>IF(DAY(SepSun1)=1,SepSun1+27,SepSun1+34)</f>
        <v>43736</v>
      </c>
      <c r="N303" s="30"/>
      <c r="O303" s="48">
        <f>IF(DAY(SepSun1)=1,SepSun1+28,SepSun1+35)</f>
        <v>43737</v>
      </c>
    </row>
    <row r="304" spans="1:22" s="15" customFormat="1" ht="55.5" customHeight="1" x14ac:dyDescent="0.25">
      <c r="A304" s="6"/>
      <c r="B304" s="85"/>
      <c r="C304" s="86"/>
      <c r="D304" s="86"/>
      <c r="E304" s="86"/>
      <c r="F304" s="86"/>
      <c r="G304" s="86"/>
      <c r="H304" s="86"/>
      <c r="I304" s="86"/>
      <c r="J304" s="86"/>
      <c r="K304" s="86"/>
      <c r="L304" s="82"/>
      <c r="M304" s="82"/>
      <c r="N304" s="82"/>
      <c r="O304" s="82"/>
    </row>
    <row r="305" spans="1:16" s="15" customFormat="1" ht="8.25" customHeight="1" x14ac:dyDescent="0.25">
      <c r="A305" s="6"/>
      <c r="B305" s="83"/>
      <c r="C305" s="83"/>
      <c r="D305" s="83"/>
      <c r="E305" s="83"/>
      <c r="F305" s="83"/>
      <c r="G305" s="83"/>
      <c r="H305" s="83"/>
      <c r="I305" s="83"/>
      <c r="J305" s="83"/>
      <c r="K305" s="83"/>
      <c r="L305" s="84"/>
      <c r="M305" s="84"/>
      <c r="N305" s="84"/>
      <c r="O305" s="84"/>
    </row>
    <row r="306" spans="1:16" s="10" customFormat="1" ht="16.5" customHeight="1" x14ac:dyDescent="0.25">
      <c r="A306" s="9"/>
      <c r="B306" s="30"/>
      <c r="C306" s="48">
        <f>IF(DAY(SepSun1)=1,SepSun1+29,SepSun1+36)</f>
        <v>43738</v>
      </c>
      <c r="D306" s="30"/>
      <c r="E306" s="23">
        <f>IF(DAY(SepSun1)=1,SepSun1+30,SepSun1+37)</f>
        <v>43739</v>
      </c>
      <c r="F306" s="30"/>
      <c r="G306" s="23">
        <f>IF(DAY(SepSun1)=1,SepSun1+31,SepSun1+38)</f>
        <v>43740</v>
      </c>
      <c r="H306" s="30"/>
      <c r="I306" s="23">
        <f>IF(DAY(SepSun1)=1,SepSun1+32,SepSun1+39)</f>
        <v>43741</v>
      </c>
      <c r="J306" s="30"/>
      <c r="K306" s="23">
        <f>IF(DAY(SepSun1)=1,SepSun1+33,SepSun1+40)</f>
        <v>43742</v>
      </c>
      <c r="L306" s="30"/>
      <c r="M306" s="23">
        <f>IF(DAY(SepSun1)=1,SepSun1+34,SepSun1+41)</f>
        <v>43743</v>
      </c>
      <c r="N306" s="30"/>
      <c r="O306" s="23">
        <f>IF(DAY(SepSun1)=1,SepSun1+35,SepSun1+42)</f>
        <v>43744</v>
      </c>
    </row>
    <row r="307" spans="1:16" s="15" customFormat="1" ht="55.5" customHeight="1" x14ac:dyDescent="0.25">
      <c r="A307" s="6"/>
      <c r="B307" s="85"/>
      <c r="C307" s="86"/>
      <c r="D307" s="86"/>
      <c r="E307" s="86"/>
      <c r="F307" s="87"/>
      <c r="G307" s="87"/>
      <c r="H307" s="87"/>
      <c r="I307" s="87"/>
      <c r="J307" s="87"/>
      <c r="K307" s="87"/>
      <c r="L307" s="87"/>
      <c r="M307" s="87"/>
      <c r="N307" s="87"/>
      <c r="O307" s="87"/>
    </row>
    <row r="308" spans="1:16" s="15" customFormat="1" ht="7.5" customHeight="1" x14ac:dyDescent="0.2">
      <c r="B308" s="20"/>
      <c r="C308" s="20"/>
      <c r="D308" s="20"/>
      <c r="E308" s="20"/>
      <c r="F308" s="20"/>
      <c r="G308" s="20"/>
      <c r="H308" s="20"/>
      <c r="I308" s="20"/>
      <c r="J308" s="20"/>
      <c r="K308" s="20"/>
      <c r="L308" s="20"/>
      <c r="M308" s="20"/>
      <c r="N308" s="20"/>
      <c r="O308" s="20"/>
    </row>
    <row r="309" spans="1:16" s="15" customFormat="1" x14ac:dyDescent="0.2"/>
    <row r="310" spans="1:16" s="15" customFormat="1" ht="54" customHeight="1" x14ac:dyDescent="0.2">
      <c r="A310" s="81" t="str">
        <f>TEXT(DATE(CalendarYear,10,1),"mmmm")</f>
        <v>October</v>
      </c>
      <c r="B310" s="81"/>
      <c r="C310" s="81"/>
      <c r="D310" s="81"/>
      <c r="E310" s="81"/>
      <c r="F310" s="81"/>
      <c r="G310" s="81"/>
      <c r="H310" s="13"/>
      <c r="I310" s="4"/>
      <c r="J310" s="4"/>
      <c r="L310" s="79">
        <f>CalendarYear</f>
        <v>2019</v>
      </c>
      <c r="M310" s="79"/>
      <c r="N310" s="79"/>
      <c r="O310" s="79"/>
      <c r="P310" s="79"/>
    </row>
    <row r="311" spans="1:16" s="15" customFormat="1" ht="18.95" customHeight="1" x14ac:dyDescent="0.35">
      <c r="A311" s="3"/>
      <c r="B311" s="1"/>
      <c r="C311" s="1"/>
      <c r="D311" s="1"/>
      <c r="E311" s="2"/>
      <c r="F311" s="2"/>
      <c r="G311" s="2"/>
      <c r="H311" s="4"/>
      <c r="I311" s="4"/>
      <c r="J311" s="4"/>
    </row>
    <row r="312" spans="1:16" s="15" customFormat="1" ht="18.95" customHeight="1" x14ac:dyDescent="0.35">
      <c r="A312" s="3"/>
      <c r="B312" s="1"/>
      <c r="C312" s="1"/>
      <c r="D312" s="1"/>
      <c r="E312" s="2"/>
      <c r="F312" s="2"/>
      <c r="G312" s="2"/>
      <c r="H312" s="4"/>
      <c r="I312" s="4"/>
      <c r="J312" s="4"/>
    </row>
    <row r="313" spans="1:16" s="15" customFormat="1" ht="18.95" customHeight="1" x14ac:dyDescent="0.35">
      <c r="A313" s="3"/>
      <c r="B313" s="1"/>
      <c r="C313" s="1"/>
      <c r="D313" s="1"/>
      <c r="E313" s="2"/>
      <c r="F313" s="2"/>
      <c r="G313" s="2"/>
      <c r="H313" s="4"/>
      <c r="I313" s="4"/>
      <c r="J313" s="4"/>
    </row>
    <row r="314" spans="1:16" s="15" customFormat="1" ht="18.95" customHeight="1" x14ac:dyDescent="0.35">
      <c r="A314" s="3"/>
      <c r="B314" s="1"/>
      <c r="C314" s="1"/>
      <c r="D314" s="1"/>
      <c r="E314" s="2"/>
      <c r="F314" s="2"/>
      <c r="G314" s="2"/>
      <c r="H314" s="4"/>
      <c r="I314" s="4"/>
      <c r="J314" s="4"/>
    </row>
    <row r="315" spans="1:16" s="15" customFormat="1" ht="18.95" customHeight="1" x14ac:dyDescent="0.35">
      <c r="A315" s="3"/>
      <c r="B315" s="1"/>
      <c r="C315" s="1"/>
      <c r="D315" s="1"/>
      <c r="E315" s="2"/>
      <c r="F315" s="2"/>
      <c r="G315" s="2"/>
      <c r="H315" s="4"/>
      <c r="I315" s="4"/>
      <c r="J315" s="4"/>
    </row>
    <row r="316" spans="1:16" s="15" customFormat="1" ht="18.95" customHeight="1" x14ac:dyDescent="0.35">
      <c r="A316" s="3"/>
      <c r="B316" s="1"/>
      <c r="C316" s="1"/>
      <c r="D316" s="1"/>
      <c r="E316" s="2"/>
      <c r="F316" s="2"/>
      <c r="G316" s="2"/>
      <c r="H316" s="4"/>
      <c r="I316" s="4"/>
      <c r="J316" s="4"/>
    </row>
    <row r="317" spans="1:16" s="15" customFormat="1" ht="18.95" customHeight="1" x14ac:dyDescent="0.35">
      <c r="A317" s="3"/>
      <c r="B317" s="1"/>
      <c r="C317" s="1"/>
      <c r="D317" s="1"/>
      <c r="E317" s="2"/>
      <c r="F317" s="2"/>
      <c r="G317" s="2"/>
      <c r="H317" s="4"/>
      <c r="I317" s="4"/>
      <c r="J317" s="4"/>
    </row>
    <row r="318" spans="1:16" s="15" customFormat="1" ht="18.95" customHeight="1" x14ac:dyDescent="0.35">
      <c r="A318" s="3"/>
      <c r="B318" s="1"/>
      <c r="C318" s="1"/>
      <c r="D318" s="1"/>
      <c r="E318" s="2"/>
      <c r="F318" s="2"/>
      <c r="G318" s="2"/>
      <c r="H318" s="4"/>
      <c r="I318" s="4"/>
      <c r="J318" s="4"/>
    </row>
    <row r="319" spans="1:16" s="15" customFormat="1" ht="18.95" customHeight="1" x14ac:dyDescent="0.35">
      <c r="A319" s="3"/>
      <c r="B319" s="1"/>
      <c r="C319" s="1"/>
      <c r="D319" s="1"/>
      <c r="E319" s="2"/>
      <c r="F319" s="2"/>
      <c r="G319" s="2"/>
      <c r="H319" s="4"/>
      <c r="I319" s="4"/>
      <c r="J319" s="4"/>
    </row>
    <row r="320" spans="1:16" s="15" customFormat="1" ht="18.95" customHeight="1" x14ac:dyDescent="0.35">
      <c r="A320" s="3"/>
      <c r="B320" s="1"/>
      <c r="C320" s="1"/>
      <c r="D320" s="1"/>
      <c r="E320" s="2"/>
      <c r="F320" s="2"/>
      <c r="G320" s="2"/>
      <c r="H320" s="4"/>
      <c r="I320" s="4"/>
      <c r="J320" s="4"/>
    </row>
    <row r="321" spans="1:22" s="15" customFormat="1" ht="18.95" customHeight="1" x14ac:dyDescent="0.35">
      <c r="A321" s="3"/>
      <c r="B321" s="1"/>
      <c r="C321" s="1"/>
      <c r="D321" s="1"/>
      <c r="E321" s="2"/>
      <c r="F321" s="2"/>
      <c r="G321" s="2"/>
      <c r="H321" s="4"/>
      <c r="I321" s="4"/>
      <c r="J321" s="4"/>
    </row>
    <row r="322" spans="1:22" s="15" customFormat="1" ht="18.95" customHeight="1" x14ac:dyDescent="0.35">
      <c r="A322" s="3"/>
      <c r="B322" s="1"/>
      <c r="C322" s="1"/>
      <c r="D322" s="1"/>
      <c r="E322" s="2"/>
      <c r="F322" s="2"/>
      <c r="G322" s="2"/>
      <c r="H322" s="4"/>
      <c r="I322" s="4"/>
      <c r="J322" s="4"/>
    </row>
    <row r="323" spans="1:22" s="15" customFormat="1" ht="18.95" customHeight="1" x14ac:dyDescent="0.35">
      <c r="A323" s="3"/>
      <c r="B323" s="1"/>
      <c r="C323" s="1"/>
      <c r="D323" s="1"/>
      <c r="E323" s="2"/>
      <c r="F323" s="2"/>
      <c r="G323" s="2"/>
      <c r="H323" s="4"/>
      <c r="I323" s="4"/>
      <c r="J323" s="4"/>
    </row>
    <row r="324" spans="1:22" s="15" customFormat="1" ht="18.95" customHeight="1" x14ac:dyDescent="0.35">
      <c r="A324" s="3"/>
      <c r="B324" s="1"/>
      <c r="C324" s="1"/>
      <c r="D324" s="1"/>
      <c r="E324" s="2"/>
      <c r="F324" s="2"/>
      <c r="G324" s="2"/>
      <c r="H324" s="4"/>
      <c r="I324" s="4"/>
      <c r="J324" s="4"/>
    </row>
    <row r="325" spans="1:22" s="15" customFormat="1" ht="18.95" customHeight="1" x14ac:dyDescent="0.25">
      <c r="A325" s="6"/>
      <c r="B325" s="7"/>
      <c r="C325" s="7"/>
      <c r="D325" s="7"/>
      <c r="E325" s="7"/>
      <c r="F325" s="7"/>
      <c r="G325" s="7"/>
      <c r="H325" s="7"/>
      <c r="I325" s="7"/>
      <c r="J325" s="7"/>
      <c r="K325" s="7"/>
      <c r="L325" s="7"/>
      <c r="M325" s="7"/>
      <c r="N325" s="7"/>
      <c r="O325" s="7"/>
    </row>
    <row r="326" spans="1:22" s="6" customFormat="1" ht="27" customHeight="1" x14ac:dyDescent="0.25">
      <c r="B326" s="80" t="s">
        <v>0</v>
      </c>
      <c r="C326" s="80"/>
      <c r="D326" s="80" t="s">
        <v>1</v>
      </c>
      <c r="E326" s="80"/>
      <c r="F326" s="80" t="s">
        <v>2</v>
      </c>
      <c r="G326" s="80"/>
      <c r="H326" s="80" t="s">
        <v>3</v>
      </c>
      <c r="I326" s="80"/>
      <c r="J326" s="80" t="s">
        <v>4</v>
      </c>
      <c r="K326" s="80"/>
      <c r="L326" s="80" t="s">
        <v>5</v>
      </c>
      <c r="M326" s="80"/>
      <c r="N326" s="80" t="s">
        <v>6</v>
      </c>
      <c r="O326" s="80"/>
      <c r="P326" s="15"/>
      <c r="Q326" s="8"/>
      <c r="U326" s="15"/>
      <c r="V326" s="15"/>
    </row>
    <row r="327" spans="1:22" s="9" customFormat="1" ht="16.5" customHeight="1" x14ac:dyDescent="0.25">
      <c r="B327" s="29"/>
      <c r="C327" s="23">
        <f>IF(DAY(OctSun1)=1,OctSun1-6,OctSun1+1)</f>
        <v>43738</v>
      </c>
      <c r="D327" s="30"/>
      <c r="E327" s="48">
        <f>IF(DAY(OctSun1)=1,OctSun1-5,OctSun1+2)</f>
        <v>43739</v>
      </c>
      <c r="F327" s="30"/>
      <c r="G327" s="48">
        <f>IF(DAY(OctSun1)=1,OctSun1-4,OctSun1+3)</f>
        <v>43740</v>
      </c>
      <c r="H327" s="30"/>
      <c r="I327" s="48">
        <f>IF(DAY(OctSun1)=1,OctSun1-3,OctSun1+4)</f>
        <v>43741</v>
      </c>
      <c r="J327" s="30"/>
      <c r="K327" s="48">
        <f>IF(DAY(OctSun1)=1,OctSun1-2,OctSun1+5)</f>
        <v>43742</v>
      </c>
      <c r="L327" s="30"/>
      <c r="M327" s="48">
        <f>IF(DAY(OctSun1)=1,OctSun1-1,OctSun1+6)</f>
        <v>43743</v>
      </c>
      <c r="N327" s="30"/>
      <c r="O327" s="48">
        <f>IF(DAY(OctSun1)=1,OctSun1,OctSun1+7)</f>
        <v>43744</v>
      </c>
      <c r="P327" s="10"/>
      <c r="Q327" s="10"/>
      <c r="U327" s="11"/>
      <c r="V327" s="10"/>
    </row>
    <row r="328" spans="1:22" s="12" customFormat="1" ht="55.5" customHeight="1" x14ac:dyDescent="0.25">
      <c r="A328" s="6"/>
      <c r="B328" s="85"/>
      <c r="C328" s="86"/>
      <c r="D328" s="86"/>
      <c r="E328" s="86"/>
      <c r="F328" s="86"/>
      <c r="G328" s="86"/>
      <c r="H328" s="86"/>
      <c r="I328" s="86"/>
      <c r="J328" s="86"/>
      <c r="K328" s="86"/>
      <c r="L328" s="82"/>
      <c r="M328" s="82"/>
      <c r="N328" s="82"/>
      <c r="O328" s="82"/>
    </row>
    <row r="329" spans="1:22" s="12" customFormat="1" ht="8.25" customHeight="1" x14ac:dyDescent="0.25">
      <c r="A329" s="6"/>
      <c r="B329" s="83"/>
      <c r="C329" s="83"/>
      <c r="D329" s="83"/>
      <c r="E329" s="83"/>
      <c r="F329" s="83"/>
      <c r="G329" s="83"/>
      <c r="H329" s="83"/>
      <c r="I329" s="83"/>
      <c r="J329" s="83"/>
      <c r="K329" s="83"/>
      <c r="L329" s="84"/>
      <c r="M329" s="84"/>
      <c r="N329" s="84"/>
      <c r="O329" s="84"/>
    </row>
    <row r="330" spans="1:22" s="10" customFormat="1" ht="16.5" customHeight="1" x14ac:dyDescent="0.25">
      <c r="A330" s="9"/>
      <c r="B330" s="30"/>
      <c r="C330" s="48">
        <f>IF(DAY(OctSun1)=1,OctSun1+1,OctSun1+8)</f>
        <v>43745</v>
      </c>
      <c r="D330" s="30"/>
      <c r="E330" s="48">
        <f>IF(DAY(OctSun1)=1,OctSun1+2,OctSun1+9)</f>
        <v>43746</v>
      </c>
      <c r="F330" s="30"/>
      <c r="G330" s="23">
        <f>IF(DAY(OctSun1)=1,OctSun1+3,OctSun1+10)</f>
        <v>43747</v>
      </c>
      <c r="H330" s="30"/>
      <c r="I330" s="48">
        <f>IF(DAY(OctSun1)=1,OctSun1+4,OctSun1+11)</f>
        <v>43748</v>
      </c>
      <c r="J330" s="30"/>
      <c r="K330" s="48">
        <f>IF(DAY(OctSun1)=1,OctSun1+5,OctSun1+12)</f>
        <v>43749</v>
      </c>
      <c r="L330" s="30"/>
      <c r="M330" s="48">
        <f>IF(DAY(OctSun1)=1,OctSun1+6,OctSun1+13)</f>
        <v>43750</v>
      </c>
      <c r="N330" s="30"/>
      <c r="O330" s="48">
        <f>IF(DAY(OctSun1)=1,OctSun1+7,OctSun1+14)</f>
        <v>43751</v>
      </c>
    </row>
    <row r="331" spans="1:22" s="15" customFormat="1" ht="55.5" customHeight="1" x14ac:dyDescent="0.25">
      <c r="A331" s="6"/>
      <c r="B331" s="85"/>
      <c r="C331" s="86"/>
      <c r="D331" s="86"/>
      <c r="E331" s="86"/>
      <c r="F331" s="86" t="s">
        <v>7</v>
      </c>
      <c r="G331" s="86"/>
      <c r="H331" s="86"/>
      <c r="I331" s="86"/>
      <c r="J331" s="86"/>
      <c r="K331" s="86"/>
      <c r="L331" s="82"/>
      <c r="M331" s="82"/>
      <c r="N331" s="82"/>
      <c r="O331" s="82"/>
    </row>
    <row r="332" spans="1:22" s="15" customFormat="1" ht="8.25" customHeight="1" x14ac:dyDescent="0.25">
      <c r="A332" s="6"/>
      <c r="B332" s="83"/>
      <c r="C332" s="83"/>
      <c r="D332" s="83"/>
      <c r="E332" s="83"/>
      <c r="F332" s="83"/>
      <c r="G332" s="83"/>
      <c r="H332" s="83"/>
      <c r="I332" s="83"/>
      <c r="J332" s="83"/>
      <c r="K332" s="83"/>
      <c r="L332" s="84"/>
      <c r="M332" s="84"/>
      <c r="N332" s="84"/>
      <c r="O332" s="84"/>
    </row>
    <row r="333" spans="1:22" s="10" customFormat="1" ht="16.5" customHeight="1" x14ac:dyDescent="0.25">
      <c r="A333" s="9"/>
      <c r="B333" s="30"/>
      <c r="C333" s="48">
        <f>IF(DAY(OctSun1)=1,OctSun1+8,OctSun1+15)</f>
        <v>43752</v>
      </c>
      <c r="D333" s="30"/>
      <c r="E333" s="48">
        <f>IF(DAY(OctSun1)=1,OctSun1+9,OctSun1+16)</f>
        <v>43753</v>
      </c>
      <c r="F333" s="30"/>
      <c r="G333" s="48">
        <f>IF(DAY(OctSun1)=1,OctSun1+10,OctSun1+17)</f>
        <v>43754</v>
      </c>
      <c r="H333" s="30"/>
      <c r="I333" s="48">
        <f>IF(DAY(OctSun1)=1,OctSun1+11,OctSun1+18)</f>
        <v>43755</v>
      </c>
      <c r="J333" s="30"/>
      <c r="K333" s="48">
        <f>IF(DAY(OctSun1)=1,OctSun1+12,OctSun1+19)</f>
        <v>43756</v>
      </c>
      <c r="L333" s="30"/>
      <c r="M333" s="48">
        <f>IF(DAY(OctSun1)=1,OctSun1+13,OctSun1+20)</f>
        <v>43757</v>
      </c>
      <c r="N333" s="30"/>
      <c r="O333" s="48">
        <f>IF(DAY(OctSun1)=1,OctSun1+14,OctSun1+21)</f>
        <v>43758</v>
      </c>
    </row>
    <row r="334" spans="1:22" s="15" customFormat="1" ht="55.5" customHeight="1" x14ac:dyDescent="0.25">
      <c r="A334" s="6"/>
      <c r="B334" s="85"/>
      <c r="C334" s="86"/>
      <c r="D334" s="86"/>
      <c r="E334" s="86"/>
      <c r="F334" s="86"/>
      <c r="G334" s="86"/>
      <c r="H334" s="86"/>
      <c r="I334" s="86"/>
      <c r="J334" s="85"/>
      <c r="K334" s="86"/>
      <c r="L334" s="82"/>
      <c r="M334" s="82"/>
      <c r="N334" s="82"/>
      <c r="O334" s="82"/>
    </row>
    <row r="335" spans="1:22" s="15" customFormat="1" ht="8.25" customHeight="1" x14ac:dyDescent="0.25">
      <c r="A335" s="6"/>
      <c r="B335" s="83"/>
      <c r="C335" s="83"/>
      <c r="D335" s="83"/>
      <c r="E335" s="83"/>
      <c r="F335" s="83"/>
      <c r="G335" s="83"/>
      <c r="H335" s="83"/>
      <c r="I335" s="83"/>
      <c r="J335" s="83"/>
      <c r="K335" s="83"/>
      <c r="L335" s="84"/>
      <c r="M335" s="84"/>
      <c r="N335" s="84"/>
      <c r="O335" s="84"/>
    </row>
    <row r="336" spans="1:22" s="10" customFormat="1" ht="16.5" customHeight="1" x14ac:dyDescent="0.25">
      <c r="A336" s="9"/>
      <c r="B336" s="30"/>
      <c r="C336" s="48">
        <f>IF(DAY(OctSun1)=1,OctSun1+15,OctSun1+22)</f>
        <v>43759</v>
      </c>
      <c r="D336" s="30"/>
      <c r="E336" s="48">
        <f>IF(DAY(OctSun1)=1,OctSun1+16,OctSun1+23)</f>
        <v>43760</v>
      </c>
      <c r="F336" s="30"/>
      <c r="G336" s="48">
        <f>IF(DAY(OctSun1)=1,OctSun1+17,OctSun1+24)</f>
        <v>43761</v>
      </c>
      <c r="H336" s="30"/>
      <c r="I336" s="48">
        <f>IF(DAY(OctSun1)=1,OctSun1+18,OctSun1+25)</f>
        <v>43762</v>
      </c>
      <c r="J336" s="30"/>
      <c r="K336" s="48">
        <f>IF(DAY(OctSun1)=1,OctSun1+19,OctSun1+26)</f>
        <v>43763</v>
      </c>
      <c r="L336" s="30"/>
      <c r="M336" s="48">
        <f>IF(DAY(OctSun1)=1,OctSun1+20,OctSun1+27)</f>
        <v>43764</v>
      </c>
      <c r="N336" s="30"/>
      <c r="O336" s="48">
        <f>IF(DAY(OctSun1)=1,OctSun1+21,OctSun1+28)</f>
        <v>43765</v>
      </c>
    </row>
    <row r="337" spans="1:16" s="15" customFormat="1" ht="55.5" customHeight="1" x14ac:dyDescent="0.25">
      <c r="A337" s="6"/>
      <c r="B337" s="85"/>
      <c r="C337" s="86"/>
      <c r="D337" s="86"/>
      <c r="E337" s="86"/>
      <c r="F337" s="86"/>
      <c r="G337" s="86"/>
      <c r="H337" s="86"/>
      <c r="I337" s="86"/>
      <c r="J337" s="86"/>
      <c r="K337" s="86"/>
      <c r="L337" s="82"/>
      <c r="M337" s="82"/>
      <c r="N337" s="82"/>
      <c r="O337" s="82"/>
    </row>
    <row r="338" spans="1:16" s="15" customFormat="1" ht="8.25" customHeight="1" x14ac:dyDescent="0.25">
      <c r="A338" s="6"/>
      <c r="B338" s="83"/>
      <c r="C338" s="83"/>
      <c r="D338" s="83"/>
      <c r="E338" s="83"/>
      <c r="F338" s="83"/>
      <c r="G338" s="83"/>
      <c r="H338" s="83"/>
      <c r="I338" s="83"/>
      <c r="J338" s="83"/>
      <c r="K338" s="83"/>
      <c r="L338" s="84"/>
      <c r="M338" s="84"/>
      <c r="N338" s="84"/>
      <c r="O338" s="84"/>
    </row>
    <row r="339" spans="1:16" s="10" customFormat="1" ht="16.5" customHeight="1" x14ac:dyDescent="0.25">
      <c r="A339" s="9"/>
      <c r="B339" s="30"/>
      <c r="C339" s="48">
        <f>IF(DAY(OctSun1)=1,OctSun1+22,OctSun1+29)</f>
        <v>43766</v>
      </c>
      <c r="D339" s="30"/>
      <c r="E339" s="48">
        <f>IF(DAY(OctSun1)=1,OctSun1+23,OctSun1+30)</f>
        <v>43767</v>
      </c>
      <c r="F339" s="30"/>
      <c r="G339" s="48">
        <f>IF(DAY(OctSun1)=1,OctSun1+24,OctSun1+31)</f>
        <v>43768</v>
      </c>
      <c r="H339" s="30"/>
      <c r="I339" s="48">
        <f>IF(DAY(OctSun1)=1,OctSun1+25,OctSun1+32)</f>
        <v>43769</v>
      </c>
      <c r="J339" s="30"/>
      <c r="K339" s="23">
        <f>IF(DAY(OctSun1)=1,OctSun1+26,OctSun1+33)</f>
        <v>43770</v>
      </c>
      <c r="L339" s="30"/>
      <c r="M339" s="23">
        <f>IF(DAY(OctSun1)=1,OctSun1+27,OctSun1+34)</f>
        <v>43771</v>
      </c>
      <c r="N339" s="30"/>
      <c r="O339" s="23">
        <f>IF(DAY(OctSun1)=1,OctSun1+28,OctSun1+35)</f>
        <v>43772</v>
      </c>
    </row>
    <row r="340" spans="1:16" s="15" customFormat="1" ht="55.5" customHeight="1" x14ac:dyDescent="0.25">
      <c r="A340" s="6"/>
      <c r="B340" s="85"/>
      <c r="C340" s="86"/>
      <c r="D340" s="86"/>
      <c r="E340" s="86"/>
      <c r="F340" s="86"/>
      <c r="G340" s="86"/>
      <c r="H340" s="86"/>
      <c r="I340" s="86"/>
      <c r="J340" s="86"/>
      <c r="K340" s="86"/>
      <c r="L340" s="82"/>
      <c r="M340" s="82"/>
      <c r="N340" s="82"/>
      <c r="O340" s="82"/>
    </row>
    <row r="341" spans="1:16" s="15" customFormat="1" ht="8.25" customHeight="1" x14ac:dyDescent="0.25">
      <c r="A341" s="6"/>
      <c r="B341" s="83"/>
      <c r="C341" s="83"/>
      <c r="D341" s="83"/>
      <c r="E341" s="83"/>
      <c r="F341" s="83"/>
      <c r="G341" s="83"/>
      <c r="H341" s="83"/>
      <c r="I341" s="83"/>
      <c r="J341" s="83"/>
      <c r="K341" s="83"/>
      <c r="L341" s="84"/>
      <c r="M341" s="84"/>
      <c r="N341" s="84"/>
      <c r="O341" s="84"/>
    </row>
    <row r="342" spans="1:16" s="15" customFormat="1" ht="7.5" customHeight="1" x14ac:dyDescent="0.2">
      <c r="B342" s="32"/>
      <c r="C342" s="32"/>
      <c r="D342" s="32"/>
      <c r="E342" s="32"/>
      <c r="F342" s="32"/>
      <c r="G342" s="32"/>
      <c r="H342" s="32"/>
      <c r="I342" s="32"/>
      <c r="J342" s="32"/>
      <c r="K342" s="32"/>
      <c r="L342" s="32"/>
      <c r="M342" s="32"/>
      <c r="N342" s="32"/>
      <c r="O342" s="32"/>
    </row>
    <row r="343" spans="1:16" s="15" customFormat="1" x14ac:dyDescent="0.2">
      <c r="B343" s="31"/>
      <c r="C343" s="31"/>
      <c r="D343" s="31"/>
      <c r="E343" s="31"/>
      <c r="F343" s="31"/>
      <c r="G343" s="31"/>
      <c r="H343" s="31"/>
      <c r="I343" s="31"/>
      <c r="J343" s="31"/>
      <c r="K343" s="31"/>
      <c r="L343" s="31"/>
      <c r="M343" s="31"/>
      <c r="N343" s="31"/>
      <c r="O343" s="31"/>
    </row>
    <row r="344" spans="1:16" s="15" customFormat="1" ht="54" customHeight="1" x14ac:dyDescent="0.2">
      <c r="A344" s="90" t="str">
        <f>TEXT(DATE(CalendarYear,11,1),"mmmm")</f>
        <v>November</v>
      </c>
      <c r="B344" s="90"/>
      <c r="C344" s="90"/>
      <c r="D344" s="90"/>
      <c r="E344" s="90"/>
      <c r="F344" s="90"/>
      <c r="G344" s="90"/>
      <c r="H344" s="13"/>
      <c r="I344" s="4"/>
      <c r="J344" s="4"/>
      <c r="L344" s="88">
        <f>CalendarYear</f>
        <v>2019</v>
      </c>
      <c r="M344" s="88"/>
      <c r="N344" s="88"/>
      <c r="O344" s="88"/>
      <c r="P344" s="88"/>
    </row>
    <row r="345" spans="1:16" s="15" customFormat="1" ht="18.95" customHeight="1" x14ac:dyDescent="0.35">
      <c r="A345" s="3"/>
      <c r="B345" s="1"/>
      <c r="C345" s="1"/>
      <c r="D345" s="1"/>
      <c r="E345" s="2"/>
      <c r="F345" s="2"/>
      <c r="G345" s="2"/>
      <c r="H345" s="4"/>
      <c r="I345" s="4"/>
      <c r="J345" s="4"/>
    </row>
    <row r="346" spans="1:16" s="15" customFormat="1" ht="18.95" customHeight="1" x14ac:dyDescent="0.35">
      <c r="A346" s="3"/>
      <c r="B346" s="1"/>
      <c r="C346" s="1"/>
      <c r="D346" s="1"/>
      <c r="E346" s="2"/>
      <c r="F346" s="2"/>
      <c r="G346" s="2"/>
      <c r="H346" s="4"/>
      <c r="I346" s="4"/>
      <c r="J346" s="4"/>
    </row>
    <row r="347" spans="1:16" s="15" customFormat="1" ht="18.95" customHeight="1" x14ac:dyDescent="0.35">
      <c r="A347" s="3"/>
      <c r="B347" s="1"/>
      <c r="C347" s="1"/>
      <c r="D347" s="1"/>
      <c r="E347" s="2"/>
      <c r="F347" s="2"/>
      <c r="G347" s="2"/>
      <c r="H347" s="4"/>
      <c r="I347" s="4"/>
      <c r="J347" s="4"/>
    </row>
    <row r="348" spans="1:16" s="15" customFormat="1" ht="18.95" customHeight="1" x14ac:dyDescent="0.35">
      <c r="A348" s="3"/>
      <c r="B348" s="1"/>
      <c r="C348" s="1"/>
      <c r="D348" s="1"/>
      <c r="E348" s="2"/>
      <c r="F348" s="2"/>
      <c r="G348" s="2"/>
      <c r="H348" s="4"/>
      <c r="I348" s="4"/>
      <c r="J348" s="4"/>
    </row>
    <row r="349" spans="1:16" s="15" customFormat="1" ht="18.95" customHeight="1" x14ac:dyDescent="0.35">
      <c r="A349" s="3"/>
      <c r="B349" s="1"/>
      <c r="C349" s="1"/>
      <c r="D349" s="1"/>
      <c r="E349" s="2"/>
      <c r="F349" s="2"/>
      <c r="G349" s="2"/>
      <c r="H349" s="4"/>
      <c r="I349" s="4"/>
      <c r="J349" s="4"/>
    </row>
    <row r="350" spans="1:16" s="15" customFormat="1" ht="18.95" customHeight="1" x14ac:dyDescent="0.35">
      <c r="A350" s="3"/>
      <c r="B350" s="1"/>
      <c r="C350" s="1"/>
      <c r="D350" s="1"/>
      <c r="E350" s="2"/>
      <c r="F350" s="2"/>
      <c r="G350" s="2"/>
      <c r="H350" s="4"/>
      <c r="I350" s="4"/>
      <c r="J350" s="4"/>
    </row>
    <row r="351" spans="1:16" s="15" customFormat="1" ht="18.95" customHeight="1" x14ac:dyDescent="0.35">
      <c r="A351" s="3"/>
      <c r="B351" s="1"/>
      <c r="C351" s="1"/>
      <c r="D351" s="1"/>
      <c r="E351" s="2"/>
      <c r="F351" s="2"/>
      <c r="G351" s="2"/>
      <c r="H351" s="4"/>
      <c r="I351" s="4"/>
      <c r="J351" s="4"/>
    </row>
    <row r="352" spans="1:16" s="15" customFormat="1" ht="18.95" customHeight="1" x14ac:dyDescent="0.35">
      <c r="A352" s="3"/>
      <c r="B352" s="1"/>
      <c r="C352" s="1"/>
      <c r="D352" s="1"/>
      <c r="E352" s="2"/>
      <c r="F352" s="2"/>
      <c r="G352" s="2"/>
      <c r="H352" s="4"/>
      <c r="I352" s="4"/>
      <c r="J352" s="4"/>
    </row>
    <row r="353" spans="1:22" s="15" customFormat="1" ht="18.95" customHeight="1" x14ac:dyDescent="0.35">
      <c r="A353" s="3"/>
      <c r="B353" s="1"/>
      <c r="C353" s="1"/>
      <c r="D353" s="1"/>
      <c r="E353" s="2"/>
      <c r="F353" s="2"/>
      <c r="G353" s="2"/>
      <c r="H353" s="4"/>
      <c r="I353" s="4"/>
      <c r="J353" s="4"/>
    </row>
    <row r="354" spans="1:22" s="15" customFormat="1" ht="18.95" customHeight="1" x14ac:dyDescent="0.35">
      <c r="A354" s="3"/>
      <c r="B354" s="1"/>
      <c r="C354" s="1"/>
      <c r="D354" s="1"/>
      <c r="E354" s="2"/>
      <c r="F354" s="2"/>
      <c r="G354" s="2"/>
      <c r="H354" s="4"/>
      <c r="I354" s="4"/>
      <c r="J354" s="4"/>
    </row>
    <row r="355" spans="1:22" s="15" customFormat="1" ht="18.95" customHeight="1" x14ac:dyDescent="0.35">
      <c r="A355" s="3"/>
      <c r="B355" s="1"/>
      <c r="C355" s="1"/>
      <c r="D355" s="1"/>
      <c r="E355" s="2"/>
      <c r="F355" s="2"/>
      <c r="G355" s="2"/>
      <c r="H355" s="4"/>
      <c r="I355" s="4"/>
      <c r="J355" s="4"/>
    </row>
    <row r="356" spans="1:22" s="15" customFormat="1" ht="18.95" customHeight="1" x14ac:dyDescent="0.35">
      <c r="A356" s="3"/>
      <c r="B356" s="1"/>
      <c r="C356" s="1"/>
      <c r="D356" s="1"/>
      <c r="E356" s="2"/>
      <c r="F356" s="2"/>
      <c r="G356" s="2"/>
      <c r="H356" s="4"/>
      <c r="I356" s="4"/>
      <c r="J356" s="4"/>
    </row>
    <row r="357" spans="1:22" s="15" customFormat="1" ht="18.95" customHeight="1" x14ac:dyDescent="0.35">
      <c r="A357" s="3"/>
      <c r="B357" s="1"/>
      <c r="C357" s="1"/>
      <c r="D357" s="1"/>
      <c r="E357" s="2"/>
      <c r="F357" s="2"/>
      <c r="G357" s="2"/>
      <c r="H357" s="4"/>
      <c r="I357" s="4"/>
      <c r="J357" s="4"/>
    </row>
    <row r="358" spans="1:22" s="15" customFormat="1" ht="18.95" customHeight="1" x14ac:dyDescent="0.35">
      <c r="A358" s="3"/>
      <c r="B358" s="1"/>
      <c r="C358" s="1"/>
      <c r="D358" s="1"/>
      <c r="E358" s="2"/>
      <c r="F358" s="2"/>
      <c r="G358" s="2"/>
      <c r="H358" s="4"/>
      <c r="I358" s="4"/>
      <c r="J358" s="4"/>
    </row>
    <row r="359" spans="1:22" s="15" customFormat="1" ht="18.95" customHeight="1" x14ac:dyDescent="0.25">
      <c r="A359" s="6"/>
      <c r="B359" s="7"/>
      <c r="C359" s="7"/>
      <c r="D359" s="7"/>
      <c r="E359" s="7"/>
      <c r="F359" s="7"/>
      <c r="G359" s="7"/>
      <c r="H359" s="7"/>
      <c r="I359" s="7"/>
      <c r="J359" s="7"/>
      <c r="K359" s="7"/>
      <c r="L359" s="7"/>
      <c r="M359" s="7"/>
      <c r="N359" s="7"/>
      <c r="O359" s="7"/>
    </row>
    <row r="360" spans="1:22" s="6" customFormat="1" ht="27" customHeight="1" x14ac:dyDescent="0.25">
      <c r="B360" s="89" t="s">
        <v>0</v>
      </c>
      <c r="C360" s="89"/>
      <c r="D360" s="89" t="s">
        <v>1</v>
      </c>
      <c r="E360" s="89"/>
      <c r="F360" s="89" t="s">
        <v>2</v>
      </c>
      <c r="G360" s="89"/>
      <c r="H360" s="89" t="s">
        <v>3</v>
      </c>
      <c r="I360" s="89"/>
      <c r="J360" s="89" t="s">
        <v>4</v>
      </c>
      <c r="K360" s="89"/>
      <c r="L360" s="89" t="s">
        <v>5</v>
      </c>
      <c r="M360" s="89"/>
      <c r="N360" s="89" t="s">
        <v>6</v>
      </c>
      <c r="O360" s="89"/>
      <c r="P360" s="15"/>
      <c r="Q360" s="8"/>
      <c r="U360" s="15"/>
      <c r="V360" s="15"/>
    </row>
    <row r="361" spans="1:22" s="9" customFormat="1" ht="16.5" customHeight="1" x14ac:dyDescent="0.25">
      <c r="B361" s="29"/>
      <c r="C361" s="23">
        <f>IF(DAY(NovSun1)=1,NovSun1-6,NovSun1+1)</f>
        <v>43766</v>
      </c>
      <c r="D361" s="30"/>
      <c r="E361" s="23">
        <f>IF(DAY(NovSun1)=1,NovSun1-5,NovSun1+2)</f>
        <v>43767</v>
      </c>
      <c r="F361" s="30"/>
      <c r="G361" s="23">
        <f>IF(DAY(NovSun1)=1,NovSun1-4,NovSun1+3)</f>
        <v>43768</v>
      </c>
      <c r="H361" s="30"/>
      <c r="I361" s="23">
        <f>IF(DAY(NovSun1)=1,NovSun1-3,NovSun1+4)</f>
        <v>43769</v>
      </c>
      <c r="J361" s="30"/>
      <c r="K361" s="48">
        <f>IF(DAY(NovSun1)=1,NovSun1-2,NovSun1+5)</f>
        <v>43770</v>
      </c>
      <c r="L361" s="30"/>
      <c r="M361" s="48">
        <f>IF(DAY(NovSun1)=1,NovSun1-1,NovSun1+6)</f>
        <v>43771</v>
      </c>
      <c r="N361" s="30"/>
      <c r="O361" s="48">
        <f>IF(DAY(NovSun1)=1,NovSun1,NovSun1+7)</f>
        <v>43772</v>
      </c>
      <c r="P361" s="10"/>
      <c r="Q361" s="10"/>
      <c r="U361" s="11"/>
      <c r="V361" s="10"/>
    </row>
    <row r="362" spans="1:22" s="12" customFormat="1" ht="55.5" customHeight="1" x14ac:dyDescent="0.25">
      <c r="A362" s="6"/>
      <c r="B362" s="85"/>
      <c r="C362" s="86"/>
      <c r="D362" s="86"/>
      <c r="E362" s="86"/>
      <c r="F362" s="86"/>
      <c r="G362" s="86"/>
      <c r="H362" s="86"/>
      <c r="I362" s="86"/>
      <c r="J362" s="86"/>
      <c r="K362" s="86"/>
      <c r="L362" s="82"/>
      <c r="M362" s="82"/>
      <c r="N362" s="82"/>
      <c r="O362" s="82"/>
    </row>
    <row r="363" spans="1:22" s="12" customFormat="1" ht="8.25" customHeight="1" x14ac:dyDescent="0.25">
      <c r="A363" s="6"/>
      <c r="B363" s="83"/>
      <c r="C363" s="83"/>
      <c r="D363" s="83"/>
      <c r="E363" s="83"/>
      <c r="F363" s="83"/>
      <c r="G363" s="83"/>
      <c r="H363" s="83"/>
      <c r="I363" s="83"/>
      <c r="J363" s="83"/>
      <c r="K363" s="83"/>
      <c r="L363" s="84"/>
      <c r="M363" s="84"/>
      <c r="N363" s="84"/>
      <c r="O363" s="84"/>
    </row>
    <row r="364" spans="1:22" s="10" customFormat="1" ht="16.5" customHeight="1" x14ac:dyDescent="0.25">
      <c r="A364" s="9"/>
      <c r="B364" s="30"/>
      <c r="C364" s="48">
        <f>IF(DAY(NovSun1)=1,NovSun1+1,NovSun1+8)</f>
        <v>43773</v>
      </c>
      <c r="D364" s="30"/>
      <c r="E364" s="48">
        <f>IF(DAY(NovSun1)=1,NovSun1+2,NovSun1+9)</f>
        <v>43774</v>
      </c>
      <c r="F364" s="30"/>
      <c r="G364" s="23">
        <f>IF(DAY(NovSun1)=1,NovSun1+3,NovSun1+10)</f>
        <v>43775</v>
      </c>
      <c r="H364" s="30"/>
      <c r="I364" s="48">
        <f>IF(DAY(NovSun1)=1,NovSun1+4,NovSun1+11)</f>
        <v>43776</v>
      </c>
      <c r="J364" s="30"/>
      <c r="K364" s="48">
        <f>IF(DAY(NovSun1)=1,NovSun1+5,NovSun1+12)</f>
        <v>43777</v>
      </c>
      <c r="L364" s="30"/>
      <c r="M364" s="48">
        <f>IF(DAY(NovSun1)=1,NovSun1+6,NovSun1+13)</f>
        <v>43778</v>
      </c>
      <c r="N364" s="30"/>
      <c r="O364" s="48">
        <f>IF(DAY(NovSun1)=1,NovSun1+7,NovSun1+14)</f>
        <v>43779</v>
      </c>
    </row>
    <row r="365" spans="1:22" s="15" customFormat="1" ht="55.5" customHeight="1" x14ac:dyDescent="0.25">
      <c r="A365" s="6"/>
      <c r="B365" s="85"/>
      <c r="C365" s="86"/>
      <c r="D365" s="86"/>
      <c r="E365" s="86"/>
      <c r="F365" s="86" t="s">
        <v>7</v>
      </c>
      <c r="G365" s="86"/>
      <c r="H365" s="86"/>
      <c r="I365" s="86"/>
      <c r="J365" s="86"/>
      <c r="K365" s="86"/>
      <c r="L365" s="82"/>
      <c r="M365" s="82"/>
      <c r="N365" s="82"/>
      <c r="O365" s="82"/>
    </row>
    <row r="366" spans="1:22" s="15" customFormat="1" ht="8.25" customHeight="1" x14ac:dyDescent="0.25">
      <c r="A366" s="6"/>
      <c r="B366" s="83"/>
      <c r="C366" s="83"/>
      <c r="D366" s="83"/>
      <c r="E366" s="83"/>
      <c r="F366" s="83"/>
      <c r="G366" s="83"/>
      <c r="H366" s="83"/>
      <c r="I366" s="83"/>
      <c r="J366" s="83"/>
      <c r="K366" s="83"/>
      <c r="L366" s="84"/>
      <c r="M366" s="84"/>
      <c r="N366" s="84"/>
      <c r="O366" s="84"/>
    </row>
    <row r="367" spans="1:22" s="10" customFormat="1" ht="16.5" customHeight="1" x14ac:dyDescent="0.25">
      <c r="A367" s="9"/>
      <c r="B367" s="30"/>
      <c r="C367" s="48">
        <f>IF(DAY(NovSun1)=1,NovSun1+8,NovSun1+15)</f>
        <v>43780</v>
      </c>
      <c r="D367" s="30"/>
      <c r="E367" s="48">
        <f>IF(DAY(NovSun1)=1,NovSun1+9,NovSun1+16)</f>
        <v>43781</v>
      </c>
      <c r="F367" s="30"/>
      <c r="G367" s="48">
        <f>IF(DAY(NovSun1)=1,NovSun1+10,NovSun1+17)</f>
        <v>43782</v>
      </c>
      <c r="H367" s="30"/>
      <c r="I367" s="48">
        <f>IF(DAY(NovSun1)=1,NovSun1+11,NovSun1+18)</f>
        <v>43783</v>
      </c>
      <c r="J367" s="30"/>
      <c r="K367" s="48">
        <f>IF(DAY(NovSun1)=1,NovSun1+12,NovSun1+19)</f>
        <v>43784</v>
      </c>
      <c r="L367" s="30"/>
      <c r="M367" s="48">
        <f>IF(DAY(NovSun1)=1,NovSun1+13,NovSun1+20)</f>
        <v>43785</v>
      </c>
      <c r="N367" s="30"/>
      <c r="O367" s="48">
        <f>IF(DAY(NovSun1)=1,NovSun1+14,NovSun1+21)</f>
        <v>43786</v>
      </c>
    </row>
    <row r="368" spans="1:22" s="15" customFormat="1" ht="55.5" customHeight="1" x14ac:dyDescent="0.25">
      <c r="A368" s="6"/>
      <c r="B368" s="85"/>
      <c r="C368" s="86"/>
      <c r="D368" s="86"/>
      <c r="E368" s="86"/>
      <c r="F368" s="86"/>
      <c r="G368" s="86"/>
      <c r="H368" s="86"/>
      <c r="I368" s="86"/>
      <c r="J368" s="85"/>
      <c r="K368" s="86"/>
      <c r="L368" s="82"/>
      <c r="M368" s="82"/>
      <c r="N368" s="82"/>
      <c r="O368" s="82"/>
    </row>
    <row r="369" spans="1:16" s="15" customFormat="1" ht="8.25" customHeight="1" x14ac:dyDescent="0.25">
      <c r="A369" s="6"/>
      <c r="B369" s="83"/>
      <c r="C369" s="83"/>
      <c r="D369" s="83"/>
      <c r="E369" s="83"/>
      <c r="F369" s="83"/>
      <c r="G369" s="83"/>
      <c r="H369" s="83"/>
      <c r="I369" s="83"/>
      <c r="J369" s="83"/>
      <c r="K369" s="83"/>
      <c r="L369" s="84"/>
      <c r="M369" s="84"/>
      <c r="N369" s="84"/>
      <c r="O369" s="84"/>
    </row>
    <row r="370" spans="1:16" s="10" customFormat="1" ht="16.5" customHeight="1" x14ac:dyDescent="0.25">
      <c r="A370" s="9"/>
      <c r="B370" s="30"/>
      <c r="C370" s="48">
        <f>IF(DAY(NovSun1)=1,NovSun1+15,NovSun1+22)</f>
        <v>43787</v>
      </c>
      <c r="D370" s="30"/>
      <c r="E370" s="48">
        <f>IF(DAY(NovSun1)=1,NovSun1+16,NovSun1+23)</f>
        <v>43788</v>
      </c>
      <c r="F370" s="30"/>
      <c r="G370" s="48">
        <f>IF(DAY(NovSun1)=1,NovSun1+17,NovSun1+24)</f>
        <v>43789</v>
      </c>
      <c r="H370" s="30"/>
      <c r="I370" s="48">
        <f>IF(DAY(NovSun1)=1,NovSun1+18,NovSun1+25)</f>
        <v>43790</v>
      </c>
      <c r="J370" s="30"/>
      <c r="K370" s="48">
        <f>IF(DAY(NovSun1)=1,NovSun1+19,NovSun1+26)</f>
        <v>43791</v>
      </c>
      <c r="L370" s="30"/>
      <c r="M370" s="48">
        <f>IF(DAY(NovSun1)=1,NovSun1+20,NovSun1+27)</f>
        <v>43792</v>
      </c>
      <c r="N370" s="30"/>
      <c r="O370" s="48">
        <f>IF(DAY(NovSun1)=1,NovSun1+21,NovSun1+28)</f>
        <v>43793</v>
      </c>
    </row>
    <row r="371" spans="1:16" s="15" customFormat="1" ht="55.5" customHeight="1" x14ac:dyDescent="0.25">
      <c r="A371" s="6"/>
      <c r="B371" s="85"/>
      <c r="C371" s="86"/>
      <c r="D371" s="86"/>
      <c r="E371" s="86"/>
      <c r="F371" s="86"/>
      <c r="G371" s="86"/>
      <c r="H371" s="86"/>
      <c r="I371" s="86"/>
      <c r="J371" s="86"/>
      <c r="K371" s="86"/>
      <c r="L371" s="82"/>
      <c r="M371" s="82"/>
      <c r="N371" s="82"/>
      <c r="O371" s="82"/>
    </row>
    <row r="372" spans="1:16" s="15" customFormat="1" ht="8.25" customHeight="1" x14ac:dyDescent="0.25">
      <c r="A372" s="6"/>
      <c r="B372" s="83"/>
      <c r="C372" s="83"/>
      <c r="D372" s="83"/>
      <c r="E372" s="83"/>
      <c r="F372" s="83"/>
      <c r="G372" s="83"/>
      <c r="H372" s="83"/>
      <c r="I372" s="83"/>
      <c r="J372" s="83"/>
      <c r="K372" s="83"/>
      <c r="L372" s="84"/>
      <c r="M372" s="84"/>
      <c r="N372" s="84"/>
      <c r="O372" s="84"/>
    </row>
    <row r="373" spans="1:16" s="10" customFormat="1" ht="16.5" customHeight="1" x14ac:dyDescent="0.25">
      <c r="A373" s="9"/>
      <c r="B373" s="30"/>
      <c r="C373" s="48">
        <f>IF(DAY(NovSun1)=1,NovSun1+22,NovSun1+29)</f>
        <v>43794</v>
      </c>
      <c r="D373" s="30"/>
      <c r="E373" s="48">
        <f>IF(DAY(NovSun1)=1,NovSun1+23,NovSun1+30)</f>
        <v>43795</v>
      </c>
      <c r="F373" s="30"/>
      <c r="G373" s="48">
        <f>IF(DAY(NovSun1)=1,NovSun1+24,NovSun1+31)</f>
        <v>43796</v>
      </c>
      <c r="H373" s="30"/>
      <c r="I373" s="48">
        <f>IF(DAY(NovSun1)=1,NovSun1+25,NovSun1+32)</f>
        <v>43797</v>
      </c>
      <c r="J373" s="30"/>
      <c r="K373" s="48">
        <f>IF(DAY(NovSun1)=1,NovSun1+26,NovSun1+33)</f>
        <v>43798</v>
      </c>
      <c r="L373" s="30"/>
      <c r="M373" s="48">
        <f>IF(DAY(NovSun1)=1,NovSun1+27,NovSun1+34)</f>
        <v>43799</v>
      </c>
      <c r="N373" s="30"/>
      <c r="O373" s="23">
        <f>IF(DAY(NovSun1)=1,NovSun1+28,NovSun1+35)</f>
        <v>43800</v>
      </c>
    </row>
    <row r="374" spans="1:16" s="15" customFormat="1" ht="55.5" customHeight="1" x14ac:dyDescent="0.25">
      <c r="A374" s="6"/>
      <c r="B374" s="85"/>
      <c r="C374" s="86"/>
      <c r="D374" s="86"/>
      <c r="E374" s="86"/>
      <c r="F374" s="86"/>
      <c r="G374" s="86"/>
      <c r="H374" s="86"/>
      <c r="I374" s="86"/>
      <c r="J374" s="86"/>
      <c r="K374" s="86"/>
      <c r="L374" s="82"/>
      <c r="M374" s="82"/>
      <c r="N374" s="82"/>
      <c r="O374" s="82"/>
    </row>
    <row r="375" spans="1:16" s="15" customFormat="1" ht="8.25" customHeight="1" x14ac:dyDescent="0.25">
      <c r="A375" s="6"/>
      <c r="B375" s="83"/>
      <c r="C375" s="83"/>
      <c r="D375" s="83"/>
      <c r="E375" s="83"/>
      <c r="F375" s="83"/>
      <c r="G375" s="83"/>
      <c r="H375" s="83"/>
      <c r="I375" s="83"/>
      <c r="J375" s="83"/>
      <c r="K375" s="83"/>
      <c r="L375" s="84"/>
      <c r="M375" s="84"/>
      <c r="N375" s="84"/>
      <c r="O375" s="84"/>
    </row>
    <row r="376" spans="1:16" s="15" customFormat="1" ht="7.5" customHeight="1" x14ac:dyDescent="0.2">
      <c r="B376" s="31"/>
      <c r="C376" s="31"/>
      <c r="D376" s="31"/>
      <c r="E376" s="31"/>
      <c r="F376" s="31"/>
      <c r="G376" s="31"/>
      <c r="H376" s="31"/>
      <c r="I376" s="31"/>
      <c r="J376" s="31"/>
      <c r="K376" s="31"/>
      <c r="L376" s="31"/>
      <c r="M376" s="31"/>
      <c r="N376" s="31"/>
      <c r="O376" s="31"/>
    </row>
    <row r="377" spans="1:16" s="15" customFormat="1" x14ac:dyDescent="0.2">
      <c r="B377" s="24"/>
      <c r="C377" s="24"/>
      <c r="D377" s="24"/>
      <c r="E377" s="24"/>
      <c r="F377" s="24"/>
      <c r="G377" s="24"/>
      <c r="H377" s="24"/>
      <c r="I377" s="24"/>
      <c r="J377" s="24"/>
      <c r="K377" s="24"/>
      <c r="L377" s="24"/>
      <c r="M377" s="24"/>
      <c r="N377" s="24"/>
      <c r="O377" s="24"/>
    </row>
    <row r="378" spans="1:16" s="15" customFormat="1" ht="54" customHeight="1" x14ac:dyDescent="0.2">
      <c r="A378" s="90" t="str">
        <f>TEXT(DATE(CalendarYear,12,1),"mmmm")</f>
        <v>December</v>
      </c>
      <c r="B378" s="90"/>
      <c r="C378" s="90"/>
      <c r="D378" s="90"/>
      <c r="E378" s="90"/>
      <c r="F378" s="90"/>
      <c r="G378" s="90"/>
      <c r="H378" s="13"/>
      <c r="I378" s="4"/>
      <c r="J378" s="4"/>
      <c r="L378" s="49">
        <f>CalendarYear</f>
        <v>2019</v>
      </c>
      <c r="M378" s="49"/>
      <c r="N378" s="49"/>
      <c r="O378" s="49"/>
      <c r="P378" s="49"/>
    </row>
    <row r="379" spans="1:16" s="15" customFormat="1" ht="18.75" customHeight="1" x14ac:dyDescent="0.35">
      <c r="A379" s="3"/>
      <c r="B379" s="1"/>
      <c r="C379" s="1"/>
      <c r="D379" s="1"/>
      <c r="E379" s="2"/>
      <c r="F379" s="2"/>
      <c r="G379" s="2"/>
      <c r="H379" s="4"/>
      <c r="I379" s="4"/>
      <c r="J379" s="4"/>
      <c r="L379" s="58"/>
      <c r="M379" s="58"/>
      <c r="N379" s="58"/>
      <c r="O379" s="58"/>
    </row>
    <row r="380" spans="1:16" s="15" customFormat="1" ht="18.75" customHeight="1" x14ac:dyDescent="0.35">
      <c r="A380" s="3"/>
      <c r="B380" s="1"/>
      <c r="C380" s="1"/>
      <c r="D380" s="1"/>
      <c r="E380" s="2"/>
      <c r="F380" s="2"/>
      <c r="G380" s="2"/>
      <c r="H380" s="4"/>
      <c r="I380" s="4"/>
      <c r="J380" s="4"/>
    </row>
    <row r="381" spans="1:16" s="15" customFormat="1" ht="18.75" customHeight="1" x14ac:dyDescent="0.35">
      <c r="A381" s="3"/>
      <c r="B381" s="1"/>
      <c r="C381" s="1"/>
      <c r="D381" s="1"/>
      <c r="E381" s="2"/>
      <c r="F381" s="2"/>
      <c r="G381" s="2"/>
      <c r="H381" s="4"/>
      <c r="I381" s="4"/>
      <c r="J381" s="4"/>
    </row>
    <row r="382" spans="1:16" s="15" customFormat="1" ht="18.75" customHeight="1" x14ac:dyDescent="0.35">
      <c r="A382" s="3"/>
      <c r="B382" s="1"/>
      <c r="C382" s="1"/>
      <c r="D382" s="1"/>
      <c r="E382" s="2"/>
      <c r="F382" s="2"/>
      <c r="G382" s="2"/>
      <c r="H382" s="4"/>
      <c r="I382" s="4"/>
      <c r="J382" s="4"/>
    </row>
    <row r="383" spans="1:16" s="15" customFormat="1" ht="18.75" customHeight="1" x14ac:dyDescent="0.35">
      <c r="A383" s="3"/>
      <c r="B383" s="1"/>
      <c r="C383" s="1"/>
      <c r="D383" s="1"/>
      <c r="E383" s="2"/>
      <c r="F383" s="2"/>
      <c r="G383" s="2"/>
      <c r="H383" s="4"/>
      <c r="I383" s="4"/>
      <c r="J383" s="4"/>
    </row>
    <row r="384" spans="1:16" s="15" customFormat="1" ht="18.75" customHeight="1" x14ac:dyDescent="0.35">
      <c r="A384" s="3"/>
      <c r="B384" s="1"/>
      <c r="C384" s="1"/>
      <c r="D384" s="1"/>
      <c r="E384" s="2"/>
      <c r="F384" s="2"/>
      <c r="G384" s="2"/>
      <c r="H384" s="4"/>
      <c r="I384" s="4"/>
      <c r="J384" s="4"/>
    </row>
    <row r="385" spans="1:22" s="15" customFormat="1" ht="18.75" customHeight="1" x14ac:dyDescent="0.35">
      <c r="A385" s="3"/>
      <c r="B385" s="1"/>
      <c r="C385" s="1"/>
      <c r="D385" s="1"/>
      <c r="E385" s="2"/>
      <c r="F385" s="2"/>
      <c r="G385" s="2"/>
      <c r="H385" s="4"/>
      <c r="I385" s="4"/>
      <c r="J385" s="4"/>
    </row>
    <row r="386" spans="1:22" s="15" customFormat="1" ht="18.75" customHeight="1" x14ac:dyDescent="0.35">
      <c r="A386" s="3"/>
      <c r="B386" s="1"/>
      <c r="C386" s="1"/>
      <c r="D386" s="1"/>
      <c r="E386" s="2"/>
      <c r="F386" s="2"/>
      <c r="G386" s="2"/>
      <c r="H386" s="4"/>
      <c r="I386" s="4"/>
      <c r="J386" s="4"/>
    </row>
    <row r="387" spans="1:22" s="15" customFormat="1" ht="18.75" customHeight="1" x14ac:dyDescent="0.35">
      <c r="A387" s="3"/>
      <c r="B387" s="1"/>
      <c r="C387" s="1"/>
      <c r="D387" s="1"/>
      <c r="E387" s="2"/>
      <c r="F387" s="2"/>
      <c r="G387" s="2"/>
      <c r="H387" s="4"/>
      <c r="I387" s="4"/>
      <c r="J387" s="4"/>
    </row>
    <row r="388" spans="1:22" s="15" customFormat="1" ht="18.75" customHeight="1" x14ac:dyDescent="0.35">
      <c r="A388" s="3"/>
      <c r="B388" s="1"/>
      <c r="C388" s="1"/>
      <c r="D388" s="1"/>
      <c r="E388" s="2"/>
      <c r="F388" s="2"/>
      <c r="G388" s="2"/>
      <c r="H388" s="4"/>
      <c r="I388" s="4"/>
      <c r="J388" s="4"/>
    </row>
    <row r="389" spans="1:22" s="15" customFormat="1" ht="18.75" customHeight="1" x14ac:dyDescent="0.35">
      <c r="A389" s="3"/>
      <c r="B389" s="1"/>
      <c r="C389" s="1"/>
      <c r="D389" s="1"/>
      <c r="E389" s="2"/>
      <c r="F389" s="2"/>
      <c r="G389" s="2"/>
      <c r="H389" s="4"/>
      <c r="I389" s="4"/>
      <c r="J389" s="4"/>
    </row>
    <row r="390" spans="1:22" s="15" customFormat="1" ht="18.75" customHeight="1" x14ac:dyDescent="0.35">
      <c r="A390" s="3"/>
      <c r="B390" s="1"/>
      <c r="C390" s="1"/>
      <c r="D390" s="1"/>
      <c r="E390" s="2"/>
      <c r="F390" s="2"/>
      <c r="G390" s="2"/>
      <c r="H390" s="4"/>
      <c r="I390" s="4"/>
      <c r="J390" s="4"/>
    </row>
    <row r="391" spans="1:22" s="15" customFormat="1" ht="18.75" customHeight="1" x14ac:dyDescent="0.35">
      <c r="A391" s="3"/>
      <c r="B391" s="1"/>
      <c r="C391" s="1"/>
      <c r="D391" s="1"/>
      <c r="E391" s="2"/>
      <c r="F391" s="2"/>
      <c r="G391" s="2"/>
      <c r="H391" s="4"/>
      <c r="I391" s="4"/>
      <c r="J391" s="4"/>
    </row>
    <row r="392" spans="1:22" s="15" customFormat="1" ht="18.75" customHeight="1" x14ac:dyDescent="0.35">
      <c r="A392" s="3"/>
      <c r="B392" s="1"/>
      <c r="C392" s="1"/>
      <c r="D392" s="1"/>
      <c r="E392" s="2"/>
      <c r="F392" s="2"/>
      <c r="G392" s="2"/>
      <c r="H392" s="4"/>
      <c r="I392" s="4"/>
      <c r="J392" s="4"/>
    </row>
    <row r="393" spans="1:22" s="15" customFormat="1" ht="18.75" customHeight="1" x14ac:dyDescent="0.25">
      <c r="A393" s="6"/>
      <c r="B393" s="7"/>
      <c r="C393" s="7"/>
      <c r="D393" s="7"/>
      <c r="E393" s="7"/>
      <c r="F393" s="7"/>
      <c r="G393" s="7"/>
      <c r="H393" s="7"/>
      <c r="I393" s="7"/>
      <c r="J393" s="7"/>
      <c r="K393" s="7"/>
      <c r="L393" s="7"/>
      <c r="M393" s="7"/>
      <c r="N393" s="7"/>
      <c r="O393" s="7"/>
    </row>
    <row r="394" spans="1:22" s="6" customFormat="1" ht="27" customHeight="1" x14ac:dyDescent="0.25">
      <c r="B394" s="54" t="s">
        <v>0</v>
      </c>
      <c r="C394" s="54"/>
      <c r="D394" s="50" t="s">
        <v>1</v>
      </c>
      <c r="E394" s="50"/>
      <c r="F394" s="50" t="s">
        <v>2</v>
      </c>
      <c r="G394" s="50"/>
      <c r="H394" s="50" t="s">
        <v>3</v>
      </c>
      <c r="I394" s="50"/>
      <c r="J394" s="50" t="s">
        <v>4</v>
      </c>
      <c r="K394" s="50"/>
      <c r="L394" s="50" t="s">
        <v>5</v>
      </c>
      <c r="M394" s="50"/>
      <c r="N394" s="50" t="s">
        <v>6</v>
      </c>
      <c r="O394" s="50"/>
      <c r="P394" s="15"/>
      <c r="Q394" s="8"/>
      <c r="U394" s="15"/>
      <c r="V394" s="15"/>
    </row>
    <row r="395" spans="1:22" s="9" customFormat="1" ht="16.5" customHeight="1" x14ac:dyDescent="0.25">
      <c r="B395" s="25"/>
      <c r="C395" s="19">
        <f>IF(DAY(DecSun1)=1,DecSun1-6,DecSun1+1)</f>
        <v>43794</v>
      </c>
      <c r="D395" s="26"/>
      <c r="E395" s="19">
        <f>IF(DAY(DecSun1)=1,DecSun1-5,DecSun1+2)</f>
        <v>43795</v>
      </c>
      <c r="F395" s="26"/>
      <c r="G395" s="19">
        <f>IF(DAY(DecSun1)=1,DecSun1-4,DecSun1+3)</f>
        <v>43796</v>
      </c>
      <c r="H395" s="26"/>
      <c r="I395" s="19">
        <f>IF(DAY(DecSun1)=1,DecSun1-3,DecSun1+4)</f>
        <v>43797</v>
      </c>
      <c r="J395" s="26"/>
      <c r="K395" s="19">
        <f>IF(DAY(DecSun1)=1,DecSun1-2,DecSun1+5)</f>
        <v>43798</v>
      </c>
      <c r="L395" s="26"/>
      <c r="M395" s="19">
        <f>IF(DAY(DecSun1)=1,DecSun1-1,DecSun1+6)</f>
        <v>43799</v>
      </c>
      <c r="N395" s="26"/>
      <c r="O395" s="42">
        <f>IF(DAY(DecSun1)=1,DecSun1,DecSun1+7)</f>
        <v>43800</v>
      </c>
      <c r="P395" s="10"/>
      <c r="Q395" s="10"/>
      <c r="U395" s="11"/>
      <c r="V395" s="10"/>
    </row>
    <row r="396" spans="1:22" s="12" customFormat="1" ht="55.5" customHeight="1" x14ac:dyDescent="0.25">
      <c r="A396" s="6"/>
      <c r="B396" s="51"/>
      <c r="C396" s="52"/>
      <c r="D396" s="52"/>
      <c r="E396" s="52"/>
      <c r="F396" s="52"/>
      <c r="G396" s="52"/>
      <c r="H396" s="52"/>
      <c r="I396" s="52"/>
      <c r="J396" s="52"/>
      <c r="K396" s="52"/>
      <c r="L396" s="53"/>
      <c r="M396" s="53"/>
      <c r="N396" s="53"/>
      <c r="O396" s="53"/>
    </row>
    <row r="397" spans="1:22" s="12" customFormat="1" ht="8.25" customHeight="1" x14ac:dyDescent="0.25">
      <c r="A397" s="6"/>
      <c r="B397" s="55"/>
      <c r="C397" s="55"/>
      <c r="D397" s="55"/>
      <c r="E397" s="55"/>
      <c r="F397" s="55"/>
      <c r="G397" s="55"/>
      <c r="H397" s="55"/>
      <c r="I397" s="55"/>
      <c r="J397" s="55"/>
      <c r="K397" s="55"/>
      <c r="L397" s="56"/>
      <c r="M397" s="56"/>
      <c r="N397" s="56"/>
      <c r="O397" s="56"/>
    </row>
    <row r="398" spans="1:22" s="10" customFormat="1" ht="16.5" customHeight="1" x14ac:dyDescent="0.25">
      <c r="A398" s="9"/>
      <c r="B398" s="27"/>
      <c r="C398" s="42">
        <f>IF(DAY(DecSun1)=1,DecSun1+1,DecSun1+8)</f>
        <v>43801</v>
      </c>
      <c r="D398" s="26"/>
      <c r="E398" s="42">
        <f>IF(DAY(DecSun1)=1,DecSun1+2,DecSun1+9)</f>
        <v>43802</v>
      </c>
      <c r="F398" s="26"/>
      <c r="G398" s="19">
        <f>IF(DAY(DecSun1)=1,DecSun1+3,DecSun1+10)</f>
        <v>43803</v>
      </c>
      <c r="H398" s="26"/>
      <c r="I398" s="42">
        <f>IF(DAY(DecSun1)=1,DecSun1+4,DecSun1+11)</f>
        <v>43804</v>
      </c>
      <c r="J398" s="26"/>
      <c r="K398" s="42">
        <f>IF(DAY(DecSun1)=1,DecSun1+5,DecSun1+12)</f>
        <v>43805</v>
      </c>
      <c r="L398" s="26"/>
      <c r="M398" s="42">
        <f>IF(DAY(DecSun1)=1,DecSun1+6,DecSun1+13)</f>
        <v>43806</v>
      </c>
      <c r="N398" s="26"/>
      <c r="O398" s="43">
        <f>IF(DAY(DecSun1)=1,DecSun1+7,DecSun1+14)</f>
        <v>43807</v>
      </c>
    </row>
    <row r="399" spans="1:22" s="15" customFormat="1" ht="55.5" customHeight="1" x14ac:dyDescent="0.25">
      <c r="A399" s="6"/>
      <c r="B399" s="51"/>
      <c r="C399" s="52"/>
      <c r="D399" s="52"/>
      <c r="E399" s="52"/>
      <c r="F399" s="52" t="s">
        <v>7</v>
      </c>
      <c r="G399" s="52"/>
      <c r="H399" s="52"/>
      <c r="I399" s="52"/>
      <c r="J399" s="52"/>
      <c r="K399" s="52"/>
      <c r="L399" s="53"/>
      <c r="M399" s="53"/>
      <c r="N399" s="53"/>
      <c r="O399" s="53"/>
    </row>
    <row r="400" spans="1:22" s="15" customFormat="1" ht="8.25" customHeight="1" x14ac:dyDescent="0.25">
      <c r="A400" s="6"/>
      <c r="B400" s="55"/>
      <c r="C400" s="55"/>
      <c r="D400" s="55"/>
      <c r="E400" s="55"/>
      <c r="F400" s="55"/>
      <c r="G400" s="55"/>
      <c r="H400" s="55"/>
      <c r="I400" s="55"/>
      <c r="J400" s="55"/>
      <c r="K400" s="55"/>
      <c r="L400" s="56"/>
      <c r="M400" s="56"/>
      <c r="N400" s="56"/>
      <c r="O400" s="56"/>
    </row>
    <row r="401" spans="1:15" s="10" customFormat="1" ht="16.5" customHeight="1" x14ac:dyDescent="0.25">
      <c r="A401" s="9"/>
      <c r="B401" s="27"/>
      <c r="C401" s="42">
        <f>IF(DAY(DecSun1)=1,DecSun1+8,DecSun1+15)</f>
        <v>43808</v>
      </c>
      <c r="D401" s="26"/>
      <c r="E401" s="42">
        <f>IF(DAY(DecSun1)=1,DecSun1+9,DecSun1+16)</f>
        <v>43809</v>
      </c>
      <c r="F401" s="26"/>
      <c r="G401" s="42">
        <f>IF(DAY(DecSun1)=1,DecSun1+10,DecSun1+17)</f>
        <v>43810</v>
      </c>
      <c r="H401" s="26"/>
      <c r="I401" s="42">
        <f>IF(DAY(DecSun1)=1,DecSun1+11,DecSun1+18)</f>
        <v>43811</v>
      </c>
      <c r="J401" s="26"/>
      <c r="K401" s="42">
        <f>IF(DAY(DecSun1)=1,DecSun1+12,DecSun1+19)</f>
        <v>43812</v>
      </c>
      <c r="L401" s="26"/>
      <c r="M401" s="42">
        <f>IF(DAY(DecSun1)=1,DecSun1+13,DecSun1+20)</f>
        <v>43813</v>
      </c>
      <c r="N401" s="26"/>
      <c r="O401" s="42">
        <f>IF(DAY(DecSun1)=1,DecSun1+14,DecSun1+21)</f>
        <v>43814</v>
      </c>
    </row>
    <row r="402" spans="1:15" s="15" customFormat="1" ht="55.5" customHeight="1" x14ac:dyDescent="0.25">
      <c r="A402" s="6"/>
      <c r="B402" s="51"/>
      <c r="C402" s="52"/>
      <c r="D402" s="52"/>
      <c r="E402" s="52"/>
      <c r="F402" s="52"/>
      <c r="G402" s="52"/>
      <c r="H402" s="52"/>
      <c r="I402" s="52"/>
      <c r="J402" s="52"/>
      <c r="K402" s="52"/>
      <c r="L402" s="53"/>
      <c r="M402" s="53"/>
      <c r="N402" s="53"/>
      <c r="O402" s="53"/>
    </row>
    <row r="403" spans="1:15" s="15" customFormat="1" ht="8.25" customHeight="1" x14ac:dyDescent="0.25">
      <c r="A403" s="6"/>
      <c r="B403" s="55"/>
      <c r="C403" s="55"/>
      <c r="D403" s="55"/>
      <c r="E403" s="55"/>
      <c r="F403" s="55"/>
      <c r="G403" s="55"/>
      <c r="H403" s="55"/>
      <c r="I403" s="55"/>
      <c r="J403" s="55"/>
      <c r="K403" s="55"/>
      <c r="L403" s="56"/>
      <c r="M403" s="56"/>
      <c r="N403" s="56"/>
      <c r="O403" s="56"/>
    </row>
    <row r="404" spans="1:15" s="10" customFormat="1" ht="16.5" customHeight="1" x14ac:dyDescent="0.25">
      <c r="A404" s="9"/>
      <c r="B404" s="27"/>
      <c r="C404" s="42">
        <f>IF(DAY(DecSun1)=1,DecSun1+15,DecSun1+22)</f>
        <v>43815</v>
      </c>
      <c r="D404" s="26"/>
      <c r="E404" s="42">
        <f>IF(DAY(DecSun1)=1,DecSun1+16,DecSun1+23)</f>
        <v>43816</v>
      </c>
      <c r="F404" s="26"/>
      <c r="G404" s="42">
        <f>IF(DAY(DecSun1)=1,DecSun1+17,DecSun1+24)</f>
        <v>43817</v>
      </c>
      <c r="H404" s="26"/>
      <c r="I404" s="42">
        <f>IF(DAY(DecSun1)=1,DecSun1+18,DecSun1+25)</f>
        <v>43818</v>
      </c>
      <c r="J404" s="26"/>
      <c r="K404" s="42">
        <f>IF(DAY(DecSun1)=1,DecSun1+19,DecSun1+26)</f>
        <v>43819</v>
      </c>
      <c r="L404" s="26"/>
      <c r="M404" s="42">
        <f>IF(DAY(DecSun1)=1,DecSun1+20,DecSun1+27)</f>
        <v>43820</v>
      </c>
      <c r="N404" s="26"/>
      <c r="O404" s="42">
        <f>IF(DAY(DecSun1)=1,DecSun1+21,DecSun1+28)</f>
        <v>43821</v>
      </c>
    </row>
    <row r="405" spans="1:15" s="15" customFormat="1" ht="55.5" customHeight="1" x14ac:dyDescent="0.25">
      <c r="A405" s="6"/>
      <c r="B405" s="51"/>
      <c r="C405" s="52"/>
      <c r="D405" s="52"/>
      <c r="E405" s="52"/>
      <c r="F405" s="52"/>
      <c r="G405" s="52"/>
      <c r="H405" s="52"/>
      <c r="I405" s="52"/>
      <c r="J405" s="52"/>
      <c r="K405" s="52"/>
      <c r="L405" s="53"/>
      <c r="M405" s="53"/>
      <c r="N405" s="53"/>
      <c r="O405" s="53"/>
    </row>
    <row r="406" spans="1:15" s="15" customFormat="1" ht="8.25" customHeight="1" x14ac:dyDescent="0.25">
      <c r="A406" s="6"/>
      <c r="B406" s="55"/>
      <c r="C406" s="55"/>
      <c r="D406" s="55"/>
      <c r="E406" s="55"/>
      <c r="F406" s="55"/>
      <c r="G406" s="55"/>
      <c r="H406" s="55"/>
      <c r="I406" s="55"/>
      <c r="J406" s="55"/>
      <c r="K406" s="55"/>
      <c r="L406" s="56"/>
      <c r="M406" s="56"/>
      <c r="N406" s="56"/>
      <c r="O406" s="56"/>
    </row>
    <row r="407" spans="1:15" s="10" customFormat="1" ht="16.5" customHeight="1" x14ac:dyDescent="0.25">
      <c r="A407" s="9"/>
      <c r="B407" s="27"/>
      <c r="C407" s="42">
        <f>IF(DAY(DecSun1)=1,DecSun1+22,DecSun1+29)</f>
        <v>43822</v>
      </c>
      <c r="D407" s="26"/>
      <c r="E407" s="42">
        <f>IF(DAY(DecSun1)=1,DecSun1+23,DecSun1+30)</f>
        <v>43823</v>
      </c>
      <c r="F407" s="26"/>
      <c r="G407" s="42">
        <f>IF(DAY(DecSun1)=1,DecSun1+24,DecSun1+31)</f>
        <v>43824</v>
      </c>
      <c r="H407" s="26"/>
      <c r="I407" s="42">
        <f>IF(DAY(DecSun1)=1,DecSun1+25,DecSun1+32)</f>
        <v>43825</v>
      </c>
      <c r="J407" s="26"/>
      <c r="K407" s="42">
        <f>IF(DAY(DecSun1)=1,DecSun1+26,DecSun1+33)</f>
        <v>43826</v>
      </c>
      <c r="L407" s="26"/>
      <c r="M407" s="42">
        <f>IF(DAY(DecSun1)=1,DecSun1+27,DecSun1+34)</f>
        <v>43827</v>
      </c>
      <c r="N407" s="26"/>
      <c r="O407" s="42">
        <f>IF(DAY(DecSun1)=1,DecSun1+28,DecSun1+35)</f>
        <v>43828</v>
      </c>
    </row>
    <row r="408" spans="1:15" s="15" customFormat="1" ht="55.5" customHeight="1" x14ac:dyDescent="0.25">
      <c r="A408" s="6"/>
      <c r="B408" s="51"/>
      <c r="C408" s="52"/>
      <c r="D408" s="52"/>
      <c r="E408" s="52"/>
      <c r="F408" s="52"/>
      <c r="G408" s="52"/>
      <c r="H408" s="52"/>
      <c r="I408" s="52"/>
      <c r="J408" s="52"/>
      <c r="K408" s="52"/>
      <c r="L408" s="53"/>
      <c r="M408" s="53"/>
      <c r="N408" s="53"/>
      <c r="O408" s="53"/>
    </row>
    <row r="409" spans="1:15" s="15" customFormat="1" ht="8.25" customHeight="1" x14ac:dyDescent="0.25">
      <c r="A409" s="6"/>
      <c r="B409" s="55"/>
      <c r="C409" s="55"/>
      <c r="D409" s="55"/>
      <c r="E409" s="55"/>
      <c r="F409" s="55"/>
      <c r="G409" s="55"/>
      <c r="H409" s="55"/>
      <c r="I409" s="55"/>
      <c r="J409" s="55"/>
      <c r="K409" s="55"/>
      <c r="L409" s="56"/>
      <c r="M409" s="56"/>
      <c r="N409" s="56"/>
      <c r="O409" s="56"/>
    </row>
    <row r="410" spans="1:15" s="10" customFormat="1" ht="16.5" customHeight="1" x14ac:dyDescent="0.25">
      <c r="A410" s="9"/>
      <c r="B410" s="27"/>
      <c r="C410" s="42">
        <f>IF(DAY(DecSun1)=1,DecSun1+29,DecSun1+36)</f>
        <v>43829</v>
      </c>
      <c r="D410" s="26"/>
      <c r="E410" s="42">
        <f>IF(DAY(DecSun1)=1,DecSun1+30,DecSun1+37)</f>
        <v>43830</v>
      </c>
      <c r="F410" s="26"/>
      <c r="G410" s="19">
        <f>IF(DAY(DecSun1)=1,DecSun1+31,DecSun1+38)</f>
        <v>43831</v>
      </c>
      <c r="H410" s="26"/>
      <c r="I410" s="19">
        <f>IF(DAY(DecSun1)=1,DecSun1+32,DecSun1+39)</f>
        <v>43832</v>
      </c>
      <c r="J410" s="27"/>
      <c r="K410" s="19">
        <f>IF(DAY(DecSun1)=1,DecSun1+33,DecSun1+40)</f>
        <v>43833</v>
      </c>
      <c r="L410" s="26"/>
      <c r="M410" s="19">
        <f>IF(DAY(DecSun1)=1,DecSun1+34,DecSun1+41)</f>
        <v>43834</v>
      </c>
      <c r="N410" s="26"/>
      <c r="O410" s="19">
        <f>IF(DAY(DecSun1)=1,DecSun1+35,DecSun1+42)</f>
        <v>43835</v>
      </c>
    </row>
    <row r="411" spans="1:15" s="15" customFormat="1" ht="55.5" customHeight="1" x14ac:dyDescent="0.25">
      <c r="A411" s="6"/>
      <c r="B411" s="51"/>
      <c r="C411" s="52"/>
      <c r="D411" s="52"/>
      <c r="E411" s="52"/>
      <c r="F411" s="91"/>
      <c r="G411" s="91"/>
      <c r="H411" s="91"/>
      <c r="I411" s="91"/>
      <c r="J411" s="91"/>
      <c r="K411" s="91"/>
      <c r="L411" s="91"/>
      <c r="M411" s="91"/>
      <c r="N411" s="91"/>
      <c r="O411" s="91"/>
    </row>
    <row r="412" spans="1:15" s="15" customFormat="1" ht="7.5" customHeight="1" x14ac:dyDescent="0.2">
      <c r="B412" s="28"/>
      <c r="C412" s="28"/>
      <c r="D412" s="28"/>
      <c r="E412" s="28"/>
      <c r="F412" s="28"/>
      <c r="G412" s="28"/>
      <c r="H412" s="28"/>
      <c r="I412" s="28"/>
      <c r="J412" s="28"/>
      <c r="K412" s="28"/>
      <c r="L412" s="28"/>
      <c r="M412" s="28"/>
      <c r="N412" s="28"/>
      <c r="O412" s="28"/>
    </row>
  </sheetData>
  <mergeCells count="965">
    <mergeCell ref="L406:M406"/>
    <mergeCell ref="N406:O406"/>
    <mergeCell ref="B408:C408"/>
    <mergeCell ref="D408:E408"/>
    <mergeCell ref="F408:G408"/>
    <mergeCell ref="H408:I408"/>
    <mergeCell ref="J408:K408"/>
    <mergeCell ref="L408:M408"/>
    <mergeCell ref="N408:O408"/>
    <mergeCell ref="B406:C406"/>
    <mergeCell ref="D406:E406"/>
    <mergeCell ref="F406:G406"/>
    <mergeCell ref="H406:I406"/>
    <mergeCell ref="J406:K406"/>
    <mergeCell ref="L409:M409"/>
    <mergeCell ref="N409:O409"/>
    <mergeCell ref="B411:C411"/>
    <mergeCell ref="D411:E411"/>
    <mergeCell ref="F411:G411"/>
    <mergeCell ref="H411:I411"/>
    <mergeCell ref="J411:K411"/>
    <mergeCell ref="L411:M411"/>
    <mergeCell ref="N411:O411"/>
    <mergeCell ref="B409:C409"/>
    <mergeCell ref="D409:E409"/>
    <mergeCell ref="F409:G409"/>
    <mergeCell ref="H409:I409"/>
    <mergeCell ref="J409:K409"/>
    <mergeCell ref="L400:M400"/>
    <mergeCell ref="N400:O400"/>
    <mergeCell ref="B402:C402"/>
    <mergeCell ref="D402:E402"/>
    <mergeCell ref="F402:G402"/>
    <mergeCell ref="H402:I402"/>
    <mergeCell ref="J402:K402"/>
    <mergeCell ref="L402:M402"/>
    <mergeCell ref="N402:O402"/>
    <mergeCell ref="B400:C400"/>
    <mergeCell ref="D400:E400"/>
    <mergeCell ref="F400:G400"/>
    <mergeCell ref="H400:I400"/>
    <mergeCell ref="J400:K400"/>
    <mergeCell ref="L403:M403"/>
    <mergeCell ref="N403:O403"/>
    <mergeCell ref="B405:C405"/>
    <mergeCell ref="D405:E405"/>
    <mergeCell ref="F405:G405"/>
    <mergeCell ref="H405:I405"/>
    <mergeCell ref="J405:K405"/>
    <mergeCell ref="L405:M405"/>
    <mergeCell ref="N405:O405"/>
    <mergeCell ref="B403:C403"/>
    <mergeCell ref="D403:E403"/>
    <mergeCell ref="F403:G403"/>
    <mergeCell ref="H403:I403"/>
    <mergeCell ref="J403:K403"/>
    <mergeCell ref="L394:M394"/>
    <mergeCell ref="N394:O394"/>
    <mergeCell ref="B396:C396"/>
    <mergeCell ref="D396:E396"/>
    <mergeCell ref="F396:G396"/>
    <mergeCell ref="H396:I396"/>
    <mergeCell ref="J396:K396"/>
    <mergeCell ref="L396:M396"/>
    <mergeCell ref="N396:O396"/>
    <mergeCell ref="B394:C394"/>
    <mergeCell ref="D394:E394"/>
    <mergeCell ref="F394:G394"/>
    <mergeCell ref="H394:I394"/>
    <mergeCell ref="J394:K394"/>
    <mergeCell ref="L397:M397"/>
    <mergeCell ref="N397:O397"/>
    <mergeCell ref="B399:C399"/>
    <mergeCell ref="D399:E399"/>
    <mergeCell ref="F399:G399"/>
    <mergeCell ref="H399:I399"/>
    <mergeCell ref="J399:K399"/>
    <mergeCell ref="L399:M399"/>
    <mergeCell ref="N399:O399"/>
    <mergeCell ref="B397:C397"/>
    <mergeCell ref="D397:E397"/>
    <mergeCell ref="F397:G397"/>
    <mergeCell ref="H397:I397"/>
    <mergeCell ref="J397:K397"/>
    <mergeCell ref="L378:P378"/>
    <mergeCell ref="L379:O379"/>
    <mergeCell ref="A378:G378"/>
    <mergeCell ref="L374:M374"/>
    <mergeCell ref="N374:O374"/>
    <mergeCell ref="B375:C375"/>
    <mergeCell ref="D375:E375"/>
    <mergeCell ref="F375:G375"/>
    <mergeCell ref="H375:I375"/>
    <mergeCell ref="J375:K375"/>
    <mergeCell ref="L375:M375"/>
    <mergeCell ref="N375:O375"/>
    <mergeCell ref="B374:C374"/>
    <mergeCell ref="D374:E374"/>
    <mergeCell ref="F374:G374"/>
    <mergeCell ref="H374:I374"/>
    <mergeCell ref="J374:K374"/>
    <mergeCell ref="L368:M368"/>
    <mergeCell ref="N368:O368"/>
    <mergeCell ref="B369:C369"/>
    <mergeCell ref="D369:E369"/>
    <mergeCell ref="F369:G369"/>
    <mergeCell ref="H369:I369"/>
    <mergeCell ref="J369:K369"/>
    <mergeCell ref="L369:M369"/>
    <mergeCell ref="N369:O369"/>
    <mergeCell ref="B368:C368"/>
    <mergeCell ref="D368:E368"/>
    <mergeCell ref="F368:G368"/>
    <mergeCell ref="H368:I368"/>
    <mergeCell ref="J368:K368"/>
    <mergeCell ref="L371:M371"/>
    <mergeCell ref="N371:O371"/>
    <mergeCell ref="B372:C372"/>
    <mergeCell ref="D372:E372"/>
    <mergeCell ref="F372:G372"/>
    <mergeCell ref="H372:I372"/>
    <mergeCell ref="J372:K372"/>
    <mergeCell ref="L372:M372"/>
    <mergeCell ref="N372:O372"/>
    <mergeCell ref="B371:C371"/>
    <mergeCell ref="D371:E371"/>
    <mergeCell ref="F371:G371"/>
    <mergeCell ref="H371:I371"/>
    <mergeCell ref="J371:K371"/>
    <mergeCell ref="L362:M362"/>
    <mergeCell ref="N362:O362"/>
    <mergeCell ref="B363:C363"/>
    <mergeCell ref="D363:E363"/>
    <mergeCell ref="F363:G363"/>
    <mergeCell ref="H363:I363"/>
    <mergeCell ref="J363:K363"/>
    <mergeCell ref="L363:M363"/>
    <mergeCell ref="N363:O363"/>
    <mergeCell ref="B362:C362"/>
    <mergeCell ref="D362:E362"/>
    <mergeCell ref="F362:G362"/>
    <mergeCell ref="H362:I362"/>
    <mergeCell ref="J362:K362"/>
    <mergeCell ref="L365:M365"/>
    <mergeCell ref="N365:O365"/>
    <mergeCell ref="B366:C366"/>
    <mergeCell ref="D366:E366"/>
    <mergeCell ref="F366:G366"/>
    <mergeCell ref="H366:I366"/>
    <mergeCell ref="J366:K366"/>
    <mergeCell ref="L366:M366"/>
    <mergeCell ref="N366:O366"/>
    <mergeCell ref="B365:C365"/>
    <mergeCell ref="D365:E365"/>
    <mergeCell ref="F365:G365"/>
    <mergeCell ref="H365:I365"/>
    <mergeCell ref="J365:K365"/>
    <mergeCell ref="L340:M340"/>
    <mergeCell ref="N340:O340"/>
    <mergeCell ref="B341:C341"/>
    <mergeCell ref="D341:E341"/>
    <mergeCell ref="F341:G341"/>
    <mergeCell ref="H341:I341"/>
    <mergeCell ref="J341:K341"/>
    <mergeCell ref="L341:M341"/>
    <mergeCell ref="N341:O341"/>
    <mergeCell ref="B340:C340"/>
    <mergeCell ref="D340:E340"/>
    <mergeCell ref="F340:G340"/>
    <mergeCell ref="H340:I340"/>
    <mergeCell ref="J340:K340"/>
    <mergeCell ref="L344:P344"/>
    <mergeCell ref="B360:C360"/>
    <mergeCell ref="D360:E360"/>
    <mergeCell ref="F360:G360"/>
    <mergeCell ref="H360:I360"/>
    <mergeCell ref="J360:K360"/>
    <mergeCell ref="L360:M360"/>
    <mergeCell ref="N360:O360"/>
    <mergeCell ref="A344:G344"/>
    <mergeCell ref="L334:M334"/>
    <mergeCell ref="N334:O334"/>
    <mergeCell ref="B335:C335"/>
    <mergeCell ref="D335:E335"/>
    <mergeCell ref="F335:G335"/>
    <mergeCell ref="H335:I335"/>
    <mergeCell ref="J335:K335"/>
    <mergeCell ref="L335:M335"/>
    <mergeCell ref="N335:O335"/>
    <mergeCell ref="B334:C334"/>
    <mergeCell ref="D334:E334"/>
    <mergeCell ref="F334:G334"/>
    <mergeCell ref="H334:I334"/>
    <mergeCell ref="J334:K334"/>
    <mergeCell ref="L337:M337"/>
    <mergeCell ref="N337:O337"/>
    <mergeCell ref="B338:C338"/>
    <mergeCell ref="D338:E338"/>
    <mergeCell ref="F338:G338"/>
    <mergeCell ref="H338:I338"/>
    <mergeCell ref="J338:K338"/>
    <mergeCell ref="L338:M338"/>
    <mergeCell ref="N338:O338"/>
    <mergeCell ref="B337:C337"/>
    <mergeCell ref="D337:E337"/>
    <mergeCell ref="F337:G337"/>
    <mergeCell ref="H337:I337"/>
    <mergeCell ref="J337:K337"/>
    <mergeCell ref="L328:M328"/>
    <mergeCell ref="N328:O328"/>
    <mergeCell ref="B329:C329"/>
    <mergeCell ref="D329:E329"/>
    <mergeCell ref="F329:G329"/>
    <mergeCell ref="H329:I329"/>
    <mergeCell ref="J329:K329"/>
    <mergeCell ref="L329:M329"/>
    <mergeCell ref="N329:O329"/>
    <mergeCell ref="B328:C328"/>
    <mergeCell ref="D328:E328"/>
    <mergeCell ref="F328:G328"/>
    <mergeCell ref="H328:I328"/>
    <mergeCell ref="J328:K328"/>
    <mergeCell ref="L331:M331"/>
    <mergeCell ref="N331:O331"/>
    <mergeCell ref="B332:C332"/>
    <mergeCell ref="D332:E332"/>
    <mergeCell ref="F332:G332"/>
    <mergeCell ref="H332:I332"/>
    <mergeCell ref="J332:K332"/>
    <mergeCell ref="L332:M332"/>
    <mergeCell ref="N332:O332"/>
    <mergeCell ref="B331:C331"/>
    <mergeCell ref="D331:E331"/>
    <mergeCell ref="F331:G331"/>
    <mergeCell ref="H331:I331"/>
    <mergeCell ref="J331:K331"/>
    <mergeCell ref="L304:M304"/>
    <mergeCell ref="N304:O304"/>
    <mergeCell ref="B305:C305"/>
    <mergeCell ref="D305:E305"/>
    <mergeCell ref="F305:G305"/>
    <mergeCell ref="H305:I305"/>
    <mergeCell ref="J305:K305"/>
    <mergeCell ref="L305:M305"/>
    <mergeCell ref="N305:O305"/>
    <mergeCell ref="B304:C304"/>
    <mergeCell ref="D304:E304"/>
    <mergeCell ref="F304:G304"/>
    <mergeCell ref="H304:I304"/>
    <mergeCell ref="J304:K304"/>
    <mergeCell ref="L307:M307"/>
    <mergeCell ref="N307:O307"/>
    <mergeCell ref="L310:P310"/>
    <mergeCell ref="B326:C326"/>
    <mergeCell ref="D326:E326"/>
    <mergeCell ref="F326:G326"/>
    <mergeCell ref="H326:I326"/>
    <mergeCell ref="J326:K326"/>
    <mergeCell ref="L326:M326"/>
    <mergeCell ref="N326:O326"/>
    <mergeCell ref="A310:G310"/>
    <mergeCell ref="B307:C307"/>
    <mergeCell ref="D307:E307"/>
    <mergeCell ref="F307:G307"/>
    <mergeCell ref="H307:I307"/>
    <mergeCell ref="J307:K307"/>
    <mergeCell ref="L298:M298"/>
    <mergeCell ref="N298:O298"/>
    <mergeCell ref="B299:C299"/>
    <mergeCell ref="D299:E299"/>
    <mergeCell ref="F299:G299"/>
    <mergeCell ref="H299:I299"/>
    <mergeCell ref="J299:K299"/>
    <mergeCell ref="L299:M299"/>
    <mergeCell ref="N299:O299"/>
    <mergeCell ref="B298:C298"/>
    <mergeCell ref="D298:E298"/>
    <mergeCell ref="F298:G298"/>
    <mergeCell ref="H298:I298"/>
    <mergeCell ref="J298:K298"/>
    <mergeCell ref="L301:M301"/>
    <mergeCell ref="N301:O301"/>
    <mergeCell ref="B302:C302"/>
    <mergeCell ref="D302:E302"/>
    <mergeCell ref="F302:G302"/>
    <mergeCell ref="H302:I302"/>
    <mergeCell ref="J302:K302"/>
    <mergeCell ref="L302:M302"/>
    <mergeCell ref="N302:O302"/>
    <mergeCell ref="B301:C301"/>
    <mergeCell ref="D301:E301"/>
    <mergeCell ref="F301:G301"/>
    <mergeCell ref="H301:I301"/>
    <mergeCell ref="J301:K301"/>
    <mergeCell ref="L292:M292"/>
    <mergeCell ref="N292:O292"/>
    <mergeCell ref="B293:C293"/>
    <mergeCell ref="D293:E293"/>
    <mergeCell ref="F293:G293"/>
    <mergeCell ref="H293:I293"/>
    <mergeCell ref="J293:K293"/>
    <mergeCell ref="L293:M293"/>
    <mergeCell ref="N293:O293"/>
    <mergeCell ref="B292:C292"/>
    <mergeCell ref="D292:E292"/>
    <mergeCell ref="F292:G292"/>
    <mergeCell ref="H292:I292"/>
    <mergeCell ref="J292:K292"/>
    <mergeCell ref="L295:M295"/>
    <mergeCell ref="N295:O295"/>
    <mergeCell ref="B296:C296"/>
    <mergeCell ref="D296:E296"/>
    <mergeCell ref="F296:G296"/>
    <mergeCell ref="H296:I296"/>
    <mergeCell ref="J296:K296"/>
    <mergeCell ref="L296:M296"/>
    <mergeCell ref="N296:O296"/>
    <mergeCell ref="B295:C295"/>
    <mergeCell ref="D295:E295"/>
    <mergeCell ref="F295:G295"/>
    <mergeCell ref="H295:I295"/>
    <mergeCell ref="J295:K295"/>
    <mergeCell ref="L270:M270"/>
    <mergeCell ref="N270:O270"/>
    <mergeCell ref="B271:C271"/>
    <mergeCell ref="D271:E271"/>
    <mergeCell ref="F271:G271"/>
    <mergeCell ref="H271:I271"/>
    <mergeCell ref="J271:K271"/>
    <mergeCell ref="L271:M271"/>
    <mergeCell ref="N271:O271"/>
    <mergeCell ref="B270:C270"/>
    <mergeCell ref="D270:E270"/>
    <mergeCell ref="F270:G270"/>
    <mergeCell ref="H270:I270"/>
    <mergeCell ref="J270:K270"/>
    <mergeCell ref="L274:P274"/>
    <mergeCell ref="B290:C290"/>
    <mergeCell ref="D290:E290"/>
    <mergeCell ref="F290:G290"/>
    <mergeCell ref="H290:I290"/>
    <mergeCell ref="J290:K290"/>
    <mergeCell ref="L290:M290"/>
    <mergeCell ref="N290:O290"/>
    <mergeCell ref="A274:G274"/>
    <mergeCell ref="L264:M264"/>
    <mergeCell ref="N264:O264"/>
    <mergeCell ref="B265:C265"/>
    <mergeCell ref="D265:E265"/>
    <mergeCell ref="F265:G265"/>
    <mergeCell ref="H265:I265"/>
    <mergeCell ref="J265:K265"/>
    <mergeCell ref="L265:M265"/>
    <mergeCell ref="N265:O265"/>
    <mergeCell ref="B264:C264"/>
    <mergeCell ref="D264:E264"/>
    <mergeCell ref="F264:G264"/>
    <mergeCell ref="H264:I264"/>
    <mergeCell ref="J264:K264"/>
    <mergeCell ref="L267:M267"/>
    <mergeCell ref="N267:O267"/>
    <mergeCell ref="B268:C268"/>
    <mergeCell ref="D268:E268"/>
    <mergeCell ref="F268:G268"/>
    <mergeCell ref="H268:I268"/>
    <mergeCell ref="J268:K268"/>
    <mergeCell ref="L268:M268"/>
    <mergeCell ref="N268:O268"/>
    <mergeCell ref="B267:C267"/>
    <mergeCell ref="D267:E267"/>
    <mergeCell ref="F267:G267"/>
    <mergeCell ref="H267:I267"/>
    <mergeCell ref="J267:K267"/>
    <mergeCell ref="L258:M258"/>
    <mergeCell ref="N258:O258"/>
    <mergeCell ref="B259:C259"/>
    <mergeCell ref="D259:E259"/>
    <mergeCell ref="F259:G259"/>
    <mergeCell ref="H259:I259"/>
    <mergeCell ref="J259:K259"/>
    <mergeCell ref="L259:M259"/>
    <mergeCell ref="N259:O259"/>
    <mergeCell ref="B258:C258"/>
    <mergeCell ref="D258:E258"/>
    <mergeCell ref="F258:G258"/>
    <mergeCell ref="H258:I258"/>
    <mergeCell ref="J258:K258"/>
    <mergeCell ref="L261:M261"/>
    <mergeCell ref="N261:O261"/>
    <mergeCell ref="B262:C262"/>
    <mergeCell ref="D262:E262"/>
    <mergeCell ref="F262:G262"/>
    <mergeCell ref="H262:I262"/>
    <mergeCell ref="J262:K262"/>
    <mergeCell ref="L262:M262"/>
    <mergeCell ref="N262:O262"/>
    <mergeCell ref="B261:C261"/>
    <mergeCell ref="D261:E261"/>
    <mergeCell ref="F261:G261"/>
    <mergeCell ref="H261:I261"/>
    <mergeCell ref="J261:K261"/>
    <mergeCell ref="L236:M236"/>
    <mergeCell ref="N236:O236"/>
    <mergeCell ref="B237:C237"/>
    <mergeCell ref="D237:E237"/>
    <mergeCell ref="F237:G237"/>
    <mergeCell ref="H237:I237"/>
    <mergeCell ref="J237:K237"/>
    <mergeCell ref="L237:M237"/>
    <mergeCell ref="N237:O237"/>
    <mergeCell ref="B236:C236"/>
    <mergeCell ref="D236:E236"/>
    <mergeCell ref="F236:G236"/>
    <mergeCell ref="H236:I236"/>
    <mergeCell ref="J236:K236"/>
    <mergeCell ref="L240:P240"/>
    <mergeCell ref="B256:C256"/>
    <mergeCell ref="D256:E256"/>
    <mergeCell ref="F256:G256"/>
    <mergeCell ref="H256:I256"/>
    <mergeCell ref="J256:K256"/>
    <mergeCell ref="L256:M256"/>
    <mergeCell ref="N256:O256"/>
    <mergeCell ref="A240:G240"/>
    <mergeCell ref="L230:M230"/>
    <mergeCell ref="N230:O230"/>
    <mergeCell ref="B231:C231"/>
    <mergeCell ref="D231:E231"/>
    <mergeCell ref="F231:G231"/>
    <mergeCell ref="H231:I231"/>
    <mergeCell ref="J231:K231"/>
    <mergeCell ref="L231:M231"/>
    <mergeCell ref="N231:O231"/>
    <mergeCell ref="B230:C230"/>
    <mergeCell ref="D230:E230"/>
    <mergeCell ref="F230:G230"/>
    <mergeCell ref="H230:I230"/>
    <mergeCell ref="J230:K230"/>
    <mergeCell ref="L233:M233"/>
    <mergeCell ref="N233:O233"/>
    <mergeCell ref="B234:C234"/>
    <mergeCell ref="D234:E234"/>
    <mergeCell ref="F234:G234"/>
    <mergeCell ref="H234:I234"/>
    <mergeCell ref="J234:K234"/>
    <mergeCell ref="L234:M234"/>
    <mergeCell ref="N234:O234"/>
    <mergeCell ref="B233:C233"/>
    <mergeCell ref="D233:E233"/>
    <mergeCell ref="F233:G233"/>
    <mergeCell ref="H233:I233"/>
    <mergeCell ref="J233:K233"/>
    <mergeCell ref="L224:M224"/>
    <mergeCell ref="N224:O224"/>
    <mergeCell ref="B225:C225"/>
    <mergeCell ref="D225:E225"/>
    <mergeCell ref="F225:G225"/>
    <mergeCell ref="H225:I225"/>
    <mergeCell ref="J225:K225"/>
    <mergeCell ref="L225:M225"/>
    <mergeCell ref="N225:O225"/>
    <mergeCell ref="B224:C224"/>
    <mergeCell ref="D224:E224"/>
    <mergeCell ref="F224:G224"/>
    <mergeCell ref="H224:I224"/>
    <mergeCell ref="J224:K224"/>
    <mergeCell ref="L227:M227"/>
    <mergeCell ref="N227:O227"/>
    <mergeCell ref="B228:C228"/>
    <mergeCell ref="D228:E228"/>
    <mergeCell ref="F228:G228"/>
    <mergeCell ref="H228:I228"/>
    <mergeCell ref="J228:K228"/>
    <mergeCell ref="L228:M228"/>
    <mergeCell ref="N228:O228"/>
    <mergeCell ref="B227:C227"/>
    <mergeCell ref="D227:E227"/>
    <mergeCell ref="F227:G227"/>
    <mergeCell ref="H227:I227"/>
    <mergeCell ref="J227:K227"/>
    <mergeCell ref="L202:M202"/>
    <mergeCell ref="N202:O202"/>
    <mergeCell ref="B203:C203"/>
    <mergeCell ref="D203:E203"/>
    <mergeCell ref="F203:G203"/>
    <mergeCell ref="H203:I203"/>
    <mergeCell ref="J203:K203"/>
    <mergeCell ref="L203:M203"/>
    <mergeCell ref="N203:O203"/>
    <mergeCell ref="B202:C202"/>
    <mergeCell ref="D202:E202"/>
    <mergeCell ref="F202:G202"/>
    <mergeCell ref="H202:I202"/>
    <mergeCell ref="J202:K202"/>
    <mergeCell ref="L206:P206"/>
    <mergeCell ref="B222:C222"/>
    <mergeCell ref="D222:E222"/>
    <mergeCell ref="F222:G222"/>
    <mergeCell ref="H222:I222"/>
    <mergeCell ref="J222:K222"/>
    <mergeCell ref="L222:M222"/>
    <mergeCell ref="N222:O222"/>
    <mergeCell ref="A206:G206"/>
    <mergeCell ref="L196:M196"/>
    <mergeCell ref="N196:O196"/>
    <mergeCell ref="B197:C197"/>
    <mergeCell ref="D197:E197"/>
    <mergeCell ref="F197:G197"/>
    <mergeCell ref="H197:I197"/>
    <mergeCell ref="J197:K197"/>
    <mergeCell ref="L197:M197"/>
    <mergeCell ref="N197:O197"/>
    <mergeCell ref="B196:C196"/>
    <mergeCell ref="D196:E196"/>
    <mergeCell ref="F196:G196"/>
    <mergeCell ref="H196:I196"/>
    <mergeCell ref="J196:K196"/>
    <mergeCell ref="L199:M199"/>
    <mergeCell ref="N199:O199"/>
    <mergeCell ref="B200:C200"/>
    <mergeCell ref="D200:E200"/>
    <mergeCell ref="F200:G200"/>
    <mergeCell ref="H200:I200"/>
    <mergeCell ref="J200:K200"/>
    <mergeCell ref="L200:M200"/>
    <mergeCell ref="N200:O200"/>
    <mergeCell ref="B199:C199"/>
    <mergeCell ref="D199:E199"/>
    <mergeCell ref="F199:G199"/>
    <mergeCell ref="H199:I199"/>
    <mergeCell ref="J199:K199"/>
    <mergeCell ref="L190:M190"/>
    <mergeCell ref="N190:O190"/>
    <mergeCell ref="B191:C191"/>
    <mergeCell ref="D191:E191"/>
    <mergeCell ref="F191:G191"/>
    <mergeCell ref="H191:I191"/>
    <mergeCell ref="J191:K191"/>
    <mergeCell ref="L191:M191"/>
    <mergeCell ref="N191:O191"/>
    <mergeCell ref="B190:C190"/>
    <mergeCell ref="D190:E190"/>
    <mergeCell ref="F190:G190"/>
    <mergeCell ref="H190:I190"/>
    <mergeCell ref="J190:K190"/>
    <mergeCell ref="L193:M193"/>
    <mergeCell ref="N193:O193"/>
    <mergeCell ref="B194:C194"/>
    <mergeCell ref="D194:E194"/>
    <mergeCell ref="F194:G194"/>
    <mergeCell ref="H194:I194"/>
    <mergeCell ref="J194:K194"/>
    <mergeCell ref="L194:M194"/>
    <mergeCell ref="N194:O194"/>
    <mergeCell ref="B193:C193"/>
    <mergeCell ref="D193:E193"/>
    <mergeCell ref="F193:G193"/>
    <mergeCell ref="H193:I193"/>
    <mergeCell ref="J193:K193"/>
    <mergeCell ref="L168:M168"/>
    <mergeCell ref="N168:O168"/>
    <mergeCell ref="B169:C169"/>
    <mergeCell ref="D169:E169"/>
    <mergeCell ref="F169:G169"/>
    <mergeCell ref="H169:I169"/>
    <mergeCell ref="J169:K169"/>
    <mergeCell ref="L169:M169"/>
    <mergeCell ref="N169:O169"/>
    <mergeCell ref="B168:C168"/>
    <mergeCell ref="D168:E168"/>
    <mergeCell ref="F168:G168"/>
    <mergeCell ref="H168:I168"/>
    <mergeCell ref="J168:K168"/>
    <mergeCell ref="L172:P172"/>
    <mergeCell ref="B188:C188"/>
    <mergeCell ref="D188:E188"/>
    <mergeCell ref="F188:G188"/>
    <mergeCell ref="H188:I188"/>
    <mergeCell ref="J188:K188"/>
    <mergeCell ref="L188:M188"/>
    <mergeCell ref="N188:O188"/>
    <mergeCell ref="A172:G172"/>
    <mergeCell ref="L162:M162"/>
    <mergeCell ref="N162:O162"/>
    <mergeCell ref="B163:C163"/>
    <mergeCell ref="D163:E163"/>
    <mergeCell ref="F163:G163"/>
    <mergeCell ref="H163:I163"/>
    <mergeCell ref="J163:K163"/>
    <mergeCell ref="L163:M163"/>
    <mergeCell ref="N163:O163"/>
    <mergeCell ref="B162:C162"/>
    <mergeCell ref="D162:E162"/>
    <mergeCell ref="F162:G162"/>
    <mergeCell ref="H162:I162"/>
    <mergeCell ref="J162:K162"/>
    <mergeCell ref="L165:M165"/>
    <mergeCell ref="N165:O165"/>
    <mergeCell ref="B166:C166"/>
    <mergeCell ref="D166:E166"/>
    <mergeCell ref="F166:G166"/>
    <mergeCell ref="H166:I166"/>
    <mergeCell ref="J166:K166"/>
    <mergeCell ref="L166:M166"/>
    <mergeCell ref="N166:O166"/>
    <mergeCell ref="B165:C165"/>
    <mergeCell ref="D165:E165"/>
    <mergeCell ref="F165:G165"/>
    <mergeCell ref="H165:I165"/>
    <mergeCell ref="J165:K165"/>
    <mergeCell ref="L156:M156"/>
    <mergeCell ref="N156:O156"/>
    <mergeCell ref="B157:C157"/>
    <mergeCell ref="D157:E157"/>
    <mergeCell ref="F157:G157"/>
    <mergeCell ref="H157:I157"/>
    <mergeCell ref="J157:K157"/>
    <mergeCell ref="L157:M157"/>
    <mergeCell ref="N157:O157"/>
    <mergeCell ref="B156:C156"/>
    <mergeCell ref="D156:E156"/>
    <mergeCell ref="F156:G156"/>
    <mergeCell ref="H156:I156"/>
    <mergeCell ref="J156:K156"/>
    <mergeCell ref="L159:M159"/>
    <mergeCell ref="N159:O159"/>
    <mergeCell ref="B160:C160"/>
    <mergeCell ref="D160:E160"/>
    <mergeCell ref="F160:G160"/>
    <mergeCell ref="H160:I160"/>
    <mergeCell ref="J160:K160"/>
    <mergeCell ref="L160:M160"/>
    <mergeCell ref="N160:O160"/>
    <mergeCell ref="B159:C159"/>
    <mergeCell ref="D159:E159"/>
    <mergeCell ref="F159:G159"/>
    <mergeCell ref="H159:I159"/>
    <mergeCell ref="J159:K159"/>
    <mergeCell ref="L134:M134"/>
    <mergeCell ref="N134:O134"/>
    <mergeCell ref="B135:C135"/>
    <mergeCell ref="D135:E135"/>
    <mergeCell ref="F135:G135"/>
    <mergeCell ref="H135:I135"/>
    <mergeCell ref="J135:K135"/>
    <mergeCell ref="L135:M135"/>
    <mergeCell ref="N135:O135"/>
    <mergeCell ref="B134:C134"/>
    <mergeCell ref="D134:E134"/>
    <mergeCell ref="F134:G134"/>
    <mergeCell ref="H134:I134"/>
    <mergeCell ref="J134:K134"/>
    <mergeCell ref="L138:P138"/>
    <mergeCell ref="B154:C154"/>
    <mergeCell ref="D154:E154"/>
    <mergeCell ref="F154:G154"/>
    <mergeCell ref="H154:I154"/>
    <mergeCell ref="J154:K154"/>
    <mergeCell ref="L154:M154"/>
    <mergeCell ref="N154:O154"/>
    <mergeCell ref="A138:G138"/>
    <mergeCell ref="L128:M128"/>
    <mergeCell ref="N128:O128"/>
    <mergeCell ref="B129:C129"/>
    <mergeCell ref="D129:E129"/>
    <mergeCell ref="F129:G129"/>
    <mergeCell ref="H129:I129"/>
    <mergeCell ref="J129:K129"/>
    <mergeCell ref="L129:M129"/>
    <mergeCell ref="N129:O129"/>
    <mergeCell ref="B128:C128"/>
    <mergeCell ref="D128:E128"/>
    <mergeCell ref="F128:G128"/>
    <mergeCell ref="H128:I128"/>
    <mergeCell ref="J128:K128"/>
    <mergeCell ref="L131:M131"/>
    <mergeCell ref="N131:O131"/>
    <mergeCell ref="B132:C132"/>
    <mergeCell ref="D132:E132"/>
    <mergeCell ref="F132:G132"/>
    <mergeCell ref="H132:I132"/>
    <mergeCell ref="J132:K132"/>
    <mergeCell ref="L132:M132"/>
    <mergeCell ref="N132:O132"/>
    <mergeCell ref="B131:C131"/>
    <mergeCell ref="D131:E131"/>
    <mergeCell ref="F131:G131"/>
    <mergeCell ref="H131:I131"/>
    <mergeCell ref="J131:K131"/>
    <mergeCell ref="L122:M122"/>
    <mergeCell ref="N122:O122"/>
    <mergeCell ref="B123:C123"/>
    <mergeCell ref="D123:E123"/>
    <mergeCell ref="F123:G123"/>
    <mergeCell ref="H123:I123"/>
    <mergeCell ref="J123:K123"/>
    <mergeCell ref="L123:M123"/>
    <mergeCell ref="N123:O123"/>
    <mergeCell ref="B122:C122"/>
    <mergeCell ref="D122:E122"/>
    <mergeCell ref="F122:G122"/>
    <mergeCell ref="H122:I122"/>
    <mergeCell ref="J122:K122"/>
    <mergeCell ref="L125:M125"/>
    <mergeCell ref="N125:O125"/>
    <mergeCell ref="B126:C126"/>
    <mergeCell ref="D126:E126"/>
    <mergeCell ref="F126:G126"/>
    <mergeCell ref="H126:I126"/>
    <mergeCell ref="J126:K126"/>
    <mergeCell ref="L126:M126"/>
    <mergeCell ref="N126:O126"/>
    <mergeCell ref="B125:C125"/>
    <mergeCell ref="D125:E125"/>
    <mergeCell ref="F125:G125"/>
    <mergeCell ref="H125:I125"/>
    <mergeCell ref="J125:K125"/>
    <mergeCell ref="L100:M100"/>
    <mergeCell ref="N100:O100"/>
    <mergeCell ref="B101:C101"/>
    <mergeCell ref="D101:E101"/>
    <mergeCell ref="F101:G101"/>
    <mergeCell ref="H101:I101"/>
    <mergeCell ref="J101:K101"/>
    <mergeCell ref="L101:M101"/>
    <mergeCell ref="N101:O101"/>
    <mergeCell ref="B100:C100"/>
    <mergeCell ref="D100:E100"/>
    <mergeCell ref="F100:G100"/>
    <mergeCell ref="H100:I100"/>
    <mergeCell ref="J100:K100"/>
    <mergeCell ref="L104:P104"/>
    <mergeCell ref="B120:C120"/>
    <mergeCell ref="D120:E120"/>
    <mergeCell ref="F120:G120"/>
    <mergeCell ref="H120:I120"/>
    <mergeCell ref="J120:K120"/>
    <mergeCell ref="L120:M120"/>
    <mergeCell ref="N120:O120"/>
    <mergeCell ref="A104:G104"/>
    <mergeCell ref="L94:M94"/>
    <mergeCell ref="N94:O94"/>
    <mergeCell ref="B95:C95"/>
    <mergeCell ref="D95:E95"/>
    <mergeCell ref="F95:G95"/>
    <mergeCell ref="H95:I95"/>
    <mergeCell ref="J95:K95"/>
    <mergeCell ref="L95:M95"/>
    <mergeCell ref="N95:O95"/>
    <mergeCell ref="B94:C94"/>
    <mergeCell ref="D94:E94"/>
    <mergeCell ref="F94:G94"/>
    <mergeCell ref="H94:I94"/>
    <mergeCell ref="J94:K94"/>
    <mergeCell ref="L97:M97"/>
    <mergeCell ref="N97:O97"/>
    <mergeCell ref="B98:C98"/>
    <mergeCell ref="D98:E98"/>
    <mergeCell ref="F98:G98"/>
    <mergeCell ref="H98:I98"/>
    <mergeCell ref="J98:K98"/>
    <mergeCell ref="L98:M98"/>
    <mergeCell ref="N98:O98"/>
    <mergeCell ref="B97:C97"/>
    <mergeCell ref="D97:E97"/>
    <mergeCell ref="F97:G97"/>
    <mergeCell ref="H97:I97"/>
    <mergeCell ref="J97:K97"/>
    <mergeCell ref="L88:M88"/>
    <mergeCell ref="N88:O88"/>
    <mergeCell ref="B89:C89"/>
    <mergeCell ref="D89:E89"/>
    <mergeCell ref="F89:G89"/>
    <mergeCell ref="H89:I89"/>
    <mergeCell ref="J89:K89"/>
    <mergeCell ref="L89:M89"/>
    <mergeCell ref="N89:O89"/>
    <mergeCell ref="B88:C88"/>
    <mergeCell ref="D88:E88"/>
    <mergeCell ref="F88:G88"/>
    <mergeCell ref="H88:I88"/>
    <mergeCell ref="J88:K88"/>
    <mergeCell ref="L91:M91"/>
    <mergeCell ref="N91:O91"/>
    <mergeCell ref="B92:C92"/>
    <mergeCell ref="D92:E92"/>
    <mergeCell ref="F92:G92"/>
    <mergeCell ref="H92:I92"/>
    <mergeCell ref="J92:K92"/>
    <mergeCell ref="L92:M92"/>
    <mergeCell ref="N92:O92"/>
    <mergeCell ref="B91:C91"/>
    <mergeCell ref="D91:E91"/>
    <mergeCell ref="F91:G91"/>
    <mergeCell ref="H91:I91"/>
    <mergeCell ref="J91:K91"/>
    <mergeCell ref="L66:M66"/>
    <mergeCell ref="N66:O66"/>
    <mergeCell ref="B67:C67"/>
    <mergeCell ref="D67:E67"/>
    <mergeCell ref="F67:G67"/>
    <mergeCell ref="H67:I67"/>
    <mergeCell ref="J67:K67"/>
    <mergeCell ref="L67:M67"/>
    <mergeCell ref="N67:O67"/>
    <mergeCell ref="B66:C66"/>
    <mergeCell ref="D66:E66"/>
    <mergeCell ref="F66:G66"/>
    <mergeCell ref="H66:I66"/>
    <mergeCell ref="J66:K66"/>
    <mergeCell ref="L70:P70"/>
    <mergeCell ref="B86:C86"/>
    <mergeCell ref="D86:E86"/>
    <mergeCell ref="F86:G86"/>
    <mergeCell ref="H86:I86"/>
    <mergeCell ref="J86:K86"/>
    <mergeCell ref="L86:M86"/>
    <mergeCell ref="N86:O86"/>
    <mergeCell ref="A70:G70"/>
    <mergeCell ref="L60:M60"/>
    <mergeCell ref="N60:O60"/>
    <mergeCell ref="B61:C61"/>
    <mergeCell ref="D61:E61"/>
    <mergeCell ref="F61:G61"/>
    <mergeCell ref="H61:I61"/>
    <mergeCell ref="J61:K61"/>
    <mergeCell ref="L61:M61"/>
    <mergeCell ref="N61:O61"/>
    <mergeCell ref="B60:C60"/>
    <mergeCell ref="D60:E60"/>
    <mergeCell ref="F60:G60"/>
    <mergeCell ref="H60:I60"/>
    <mergeCell ref="J60:K60"/>
    <mergeCell ref="L63:M63"/>
    <mergeCell ref="N63:O63"/>
    <mergeCell ref="B64:C64"/>
    <mergeCell ref="D64:E64"/>
    <mergeCell ref="F64:G64"/>
    <mergeCell ref="H64:I64"/>
    <mergeCell ref="J64:K64"/>
    <mergeCell ref="L64:M64"/>
    <mergeCell ref="N64:O64"/>
    <mergeCell ref="B63:C63"/>
    <mergeCell ref="D63:E63"/>
    <mergeCell ref="F63:G63"/>
    <mergeCell ref="H63:I63"/>
    <mergeCell ref="J63:K63"/>
    <mergeCell ref="L54:M54"/>
    <mergeCell ref="N54:O54"/>
    <mergeCell ref="B55:C55"/>
    <mergeCell ref="D55:E55"/>
    <mergeCell ref="F55:G55"/>
    <mergeCell ref="H55:I55"/>
    <mergeCell ref="J55:K55"/>
    <mergeCell ref="L55:M55"/>
    <mergeCell ref="N55:O55"/>
    <mergeCell ref="B54:C54"/>
    <mergeCell ref="D54:E54"/>
    <mergeCell ref="F54:G54"/>
    <mergeCell ref="H54:I54"/>
    <mergeCell ref="J54:K54"/>
    <mergeCell ref="B58:C58"/>
    <mergeCell ref="D58:E58"/>
    <mergeCell ref="F58:G58"/>
    <mergeCell ref="H58:I58"/>
    <mergeCell ref="J58:K58"/>
    <mergeCell ref="L58:M58"/>
    <mergeCell ref="N58:O58"/>
    <mergeCell ref="B57:C57"/>
    <mergeCell ref="D57:E57"/>
    <mergeCell ref="F57:G57"/>
    <mergeCell ref="H57:I57"/>
    <mergeCell ref="J57:K57"/>
    <mergeCell ref="L57:M57"/>
    <mergeCell ref="N57:O57"/>
    <mergeCell ref="N52:O52"/>
    <mergeCell ref="A36:G36"/>
    <mergeCell ref="A2:G2"/>
    <mergeCell ref="L3:O3"/>
    <mergeCell ref="D33:E33"/>
    <mergeCell ref="B33:C33"/>
    <mergeCell ref="N33:O33"/>
    <mergeCell ref="L33:M33"/>
    <mergeCell ref="J33:K33"/>
    <mergeCell ref="H33:I33"/>
    <mergeCell ref="F33:G33"/>
    <mergeCell ref="D27:E27"/>
    <mergeCell ref="B27:C27"/>
    <mergeCell ref="N30:O30"/>
    <mergeCell ref="L30:M30"/>
    <mergeCell ref="J30:K30"/>
    <mergeCell ref="H30:I30"/>
    <mergeCell ref="F30:G30"/>
    <mergeCell ref="D30:E30"/>
    <mergeCell ref="B30:C30"/>
    <mergeCell ref="N27:O27"/>
    <mergeCell ref="L27:M27"/>
    <mergeCell ref="J27:K27"/>
    <mergeCell ref="J23:K23"/>
    <mergeCell ref="D32:E32"/>
    <mergeCell ref="H27:I27"/>
    <mergeCell ref="F32:G32"/>
    <mergeCell ref="B52:C52"/>
    <mergeCell ref="D52:E52"/>
    <mergeCell ref="F52:G52"/>
    <mergeCell ref="H52:I52"/>
    <mergeCell ref="J52:K52"/>
    <mergeCell ref="L52:M52"/>
    <mergeCell ref="F27:G27"/>
    <mergeCell ref="H29:I29"/>
    <mergeCell ref="L36:P36"/>
    <mergeCell ref="L37:O37"/>
    <mergeCell ref="B21:C21"/>
    <mergeCell ref="N21:O21"/>
    <mergeCell ref="L21:M21"/>
    <mergeCell ref="J21:K21"/>
    <mergeCell ref="H21:I21"/>
    <mergeCell ref="F21:G21"/>
    <mergeCell ref="D21:E21"/>
    <mergeCell ref="N24:O24"/>
    <mergeCell ref="L24:M24"/>
    <mergeCell ref="J24:K24"/>
    <mergeCell ref="H24:I24"/>
    <mergeCell ref="F24:G24"/>
    <mergeCell ref="D24:E24"/>
    <mergeCell ref="B24:C24"/>
    <mergeCell ref="H32:I32"/>
    <mergeCell ref="J32:K32"/>
    <mergeCell ref="L32:M32"/>
    <mergeCell ref="N32:O32"/>
    <mergeCell ref="L23:M23"/>
    <mergeCell ref="N23:O23"/>
    <mergeCell ref="B26:C26"/>
    <mergeCell ref="D26:E26"/>
    <mergeCell ref="F26:G26"/>
    <mergeCell ref="H26:I26"/>
    <mergeCell ref="J26:K26"/>
    <mergeCell ref="L26:M26"/>
    <mergeCell ref="N26:O26"/>
    <mergeCell ref="B23:C23"/>
    <mergeCell ref="D23:E23"/>
    <mergeCell ref="F23:G23"/>
    <mergeCell ref="H23:I23"/>
    <mergeCell ref="J29:K29"/>
    <mergeCell ref="L29:M29"/>
    <mergeCell ref="N29:O29"/>
    <mergeCell ref="B29:C29"/>
    <mergeCell ref="D29:E29"/>
    <mergeCell ref="F29:G29"/>
    <mergeCell ref="B32:C32"/>
    <mergeCell ref="L2:P2"/>
    <mergeCell ref="L18:M18"/>
    <mergeCell ref="N18:O18"/>
    <mergeCell ref="B20:C20"/>
    <mergeCell ref="D20:E20"/>
    <mergeCell ref="F20:G20"/>
    <mergeCell ref="H20:I20"/>
    <mergeCell ref="J20:K20"/>
    <mergeCell ref="L20:M20"/>
    <mergeCell ref="N20:O20"/>
    <mergeCell ref="B18:C18"/>
    <mergeCell ref="D18:E18"/>
    <mergeCell ref="F18:G18"/>
    <mergeCell ref="H18:I18"/>
    <mergeCell ref="J18:K18"/>
  </mergeCells>
  <conditionalFormatting sqref="C19 E19 G19 I19 K19 M19 O19">
    <cfRule type="expression" dxfId="35" priority="34">
      <formula>DAY(C19)&gt;8</formula>
    </cfRule>
  </conditionalFormatting>
  <conditionalFormatting sqref="C19 E19 G19 I19 K19 M19 O19 C22 E22 G22 I22 K22 M22 O22 C25 E25 G25 I25 K25 M25 O25 C28 E28 G28 I28 K28 M28 O28 C31 E31 F32:G32 G31 I31 K31 M31 O31">
    <cfRule type="expression" dxfId="34" priority="36">
      <formula>B20&lt;&gt;""</formula>
    </cfRule>
  </conditionalFormatting>
  <conditionalFormatting sqref="C31 E31 G31 I31 K31 M31 O31">
    <cfRule type="expression" dxfId="33" priority="35">
      <formula>AND(DAY(C31)&gt;=1,DAY(C31)&lt;=15)</formula>
    </cfRule>
  </conditionalFormatting>
  <conditionalFormatting sqref="C53 E53 G53 I53 K53 M53 O53">
    <cfRule type="expression" dxfId="32" priority="31">
      <formula>DAY(C53)&gt;8</formula>
    </cfRule>
  </conditionalFormatting>
  <conditionalFormatting sqref="C53 E53 G53 I53 K53 M53 O53 C56 E56 G56 I56 K56 M56 O56 C59 E59 G59 I59 K59 M59 O59 C62 E62 G62 I62 K62 M62 O62 C65 E65 G65 I65 K65 M65 O65">
    <cfRule type="expression" dxfId="31" priority="33">
      <formula>B54&lt;&gt;""</formula>
    </cfRule>
  </conditionalFormatting>
  <conditionalFormatting sqref="C65 E65 G65 I65 K65 M65 O65">
    <cfRule type="expression" dxfId="30" priority="32">
      <formula>AND(DAY(C65)&gt;=1,DAY(C65)&lt;=15)</formula>
    </cfRule>
  </conditionalFormatting>
  <conditionalFormatting sqref="C87 E87 G87 I87 K87 M87 O87">
    <cfRule type="expression" dxfId="29" priority="28">
      <formula>DAY(C87)&gt;8</formula>
    </cfRule>
  </conditionalFormatting>
  <conditionalFormatting sqref="C87 E87 G87 I87 K87 M87 O87 C90 E90 G90 I90 K90 M90 O90 C93 E93 G93 I93 K93 M93 O93 C96 E96 G96 I96 K96 M96 O96 C99 E99 G99 I99 K99 M99 O99">
    <cfRule type="expression" dxfId="28" priority="30">
      <formula>B88&lt;&gt;""</formula>
    </cfRule>
  </conditionalFormatting>
  <conditionalFormatting sqref="C99 E99 G99 I99 K99 M99 O99">
    <cfRule type="expression" dxfId="27" priority="29">
      <formula>AND(DAY(C99)&gt;=1,DAY(C99)&lt;=15)</formula>
    </cfRule>
  </conditionalFormatting>
  <conditionalFormatting sqref="C121 E121 G121 I121 K121 M121 O121">
    <cfRule type="expression" dxfId="26" priority="25">
      <formula>DAY(C121)&gt;8</formula>
    </cfRule>
  </conditionalFormatting>
  <conditionalFormatting sqref="C121 E121 G121 I121 K121 M121 O121 C124 E124 G124 I124 K124 M124 O124 C127 E127 G127 I127 K127 M127 O127 C130 E130 G130 I130 K130 M130 O130 C133 E133 G133 I133 K133 M133 O133">
    <cfRule type="expression" dxfId="25" priority="27">
      <formula>B122&lt;&gt;""</formula>
    </cfRule>
  </conditionalFormatting>
  <conditionalFormatting sqref="C133 E133 G133 I133 K133 M133 O133">
    <cfRule type="expression" dxfId="24" priority="26">
      <formula>AND(DAY(C133)&gt;=1,DAY(C133)&lt;=15)</formula>
    </cfRule>
  </conditionalFormatting>
  <conditionalFormatting sqref="C155 E155 G155 I155 K155 M155 O155">
    <cfRule type="expression" dxfId="23" priority="22">
      <formula>DAY(C155)&gt;8</formula>
    </cfRule>
  </conditionalFormatting>
  <conditionalFormatting sqref="C155 E155 G155 I155 K155 M155 O155 C158 E158 G158 I158 K158 M158 O158 C161 E161 G161 I161 K161 M161 O161 C164 E164 G164 I164 K164 M164 O164 C167 E167 G167 I167 K167 M167 O167">
    <cfRule type="expression" dxfId="22" priority="24">
      <formula>B156&lt;&gt;""</formula>
    </cfRule>
  </conditionalFormatting>
  <conditionalFormatting sqref="C167 E167 G167 I167 K167 M167 O167">
    <cfRule type="expression" dxfId="21" priority="23">
      <formula>AND(DAY(C167)&gt;=1,DAY(C167)&lt;=15)</formula>
    </cfRule>
  </conditionalFormatting>
  <conditionalFormatting sqref="C189 E189 G189 I189 K189 M189 O189">
    <cfRule type="expression" dxfId="20" priority="19">
      <formula>DAY(C189)&gt;8</formula>
    </cfRule>
  </conditionalFormatting>
  <conditionalFormatting sqref="C189 E189 G189 I189 K189 M189 O189 C192 E192 G192 I192 K192 M192 O192 C195 E195 G195 I195 K195 M195 O195 C198 E198 G198 I198 K198 M198 O198 C201 E201 G201 I201 K201 M201 O201">
    <cfRule type="expression" dxfId="19" priority="21">
      <formula>B190&lt;&gt;""</formula>
    </cfRule>
  </conditionalFormatting>
  <conditionalFormatting sqref="C201 E201 G201 I201 K201 M201 O201">
    <cfRule type="expression" dxfId="18" priority="20">
      <formula>AND(DAY(C201)&gt;=1,DAY(C201)&lt;=15)</formula>
    </cfRule>
  </conditionalFormatting>
  <conditionalFormatting sqref="C223 E223 G223 I223 K223 M223 O223">
    <cfRule type="expression" dxfId="17" priority="16">
      <formula>DAY(C223)&gt;8</formula>
    </cfRule>
  </conditionalFormatting>
  <conditionalFormatting sqref="C223 E223 G223 I223 K223 M223 O223 C226 E226 G226 I226 K226 M226 O226 C229 E229 G229 I229 K229 M229 O229 C232 E232 G232 I232 K232 M232 O232 C235 E235 G235 I235 K235 M235 O235">
    <cfRule type="expression" dxfId="16" priority="18">
      <formula>B224&lt;&gt;""</formula>
    </cfRule>
  </conditionalFormatting>
  <conditionalFormatting sqref="C235 E235 G235 I235 K235 M235 O235">
    <cfRule type="expression" dxfId="15" priority="17">
      <formula>AND(DAY(C235)&gt;=1,DAY(C235)&lt;=15)</formula>
    </cfRule>
  </conditionalFormatting>
  <conditionalFormatting sqref="C257 E257 G257 I257 K257 M257 O257">
    <cfRule type="expression" dxfId="14" priority="13">
      <formula>DAY(C257)&gt;8</formula>
    </cfRule>
  </conditionalFormatting>
  <conditionalFormatting sqref="C257 E257 G257 I257 K257 M257 O257 C260 E260 G260 I260 K260 M260 O260 C263 E263 G263 I263 K263 M263 O263 C266 E266 G266 I266 K266 M266 O266 C269 E269 G269 I269 K269 M269 O269">
    <cfRule type="expression" dxfId="13" priority="15">
      <formula>B258&lt;&gt;""</formula>
    </cfRule>
  </conditionalFormatting>
  <conditionalFormatting sqref="C269 E269 G269 I269 K269 M269 O269">
    <cfRule type="expression" dxfId="12" priority="14">
      <formula>AND(DAY(C269)&gt;=1,DAY(C269)&lt;=15)</formula>
    </cfRule>
  </conditionalFormatting>
  <conditionalFormatting sqref="C291 E291 G291 I291 K291 M291 O291">
    <cfRule type="expression" dxfId="11" priority="10">
      <formula>DAY(C291)&gt;8</formula>
    </cfRule>
  </conditionalFormatting>
  <conditionalFormatting sqref="C291 E291 G291 I291 K291 M291 O291 C294 E294 G294 I294 K294 M294 O294 C297 E297 G297 I297 K297 M297 O297 C300 E300 G300 I300 K300 M300 O300 C303 E303 G303 I303 K303 M303 O303 C306 E306 G306 I306 K306 M306 O306">
    <cfRule type="expression" dxfId="10" priority="12">
      <formula>B292&lt;&gt;""</formula>
    </cfRule>
  </conditionalFormatting>
  <conditionalFormatting sqref="C303 E303 G303 I303 K303 M303 O303 C306 E306 G306 I306 K306 M306 O306">
    <cfRule type="expression" dxfId="9" priority="11">
      <formula>AND(DAY(C303)&gt;=1,DAY(C303)&lt;=15)</formula>
    </cfRule>
  </conditionalFormatting>
  <conditionalFormatting sqref="C327 E327 G327 I327 K327 M327 O327">
    <cfRule type="expression" dxfId="8" priority="7">
      <formula>DAY(C327)&gt;8</formula>
    </cfRule>
  </conditionalFormatting>
  <conditionalFormatting sqref="C327 E327 G327 I327 K327 M327 O327 C330 E330 G330 I330 K330 M330 O330 C333 E333 G333 I333 K333 M333 O333 C336 E336 G336 I336 K336 M336 O336 C339 E339 G339 I339 K339 M339 O339">
    <cfRule type="expression" dxfId="7" priority="9">
      <formula>B328&lt;&gt;""</formula>
    </cfRule>
  </conditionalFormatting>
  <conditionalFormatting sqref="C339 E339 G339 I339 K339 M339 O339">
    <cfRule type="expression" dxfId="6" priority="8">
      <formula>AND(DAY(C339)&gt;=1,DAY(C339)&lt;=15)</formula>
    </cfRule>
  </conditionalFormatting>
  <conditionalFormatting sqref="C361 E361 G361 I361 K361 M361 O361">
    <cfRule type="expression" dxfId="5" priority="4">
      <formula>DAY(C361)&gt;8</formula>
    </cfRule>
  </conditionalFormatting>
  <conditionalFormatting sqref="C361 E361 G361 I361 K361 M361 O361 C364 E364 G364 I364 K364 M364 O364 C367 E367 G367 I367 K367 M367 O367 C370 E370 G370 I370 K370 M370 O370 C373 E373 G373 I373 K373 M373 O373">
    <cfRule type="expression" dxfId="4" priority="6">
      <formula>B362&lt;&gt;""</formula>
    </cfRule>
  </conditionalFormatting>
  <conditionalFormatting sqref="C373 E373 G373 I373 K373 M373 O373">
    <cfRule type="expression" dxfId="3" priority="5">
      <formula>AND(DAY(C373)&gt;=1,DAY(C373)&lt;=15)</formula>
    </cfRule>
  </conditionalFormatting>
  <conditionalFormatting sqref="C395 E395 G395 I395 K395 M395 O395">
    <cfRule type="expression" dxfId="2" priority="1">
      <formula>DAY(C395)&gt;8</formula>
    </cfRule>
  </conditionalFormatting>
  <conditionalFormatting sqref="C395 E395 G395 I395 K395 M395 O395 C398 E398 G398 I398 K398 M398 O398 C401 E401 G401 I401 K401 M401 O401 C404 E404 G404 I404 K404 M404 O404 C407 E407 G407 I407 K407 M407 O407 C410 E410 G410 I410 K410 M410 O410">
    <cfRule type="expression" dxfId="1" priority="3">
      <formula>B396&lt;&gt;""</formula>
    </cfRule>
  </conditionalFormatting>
  <conditionalFormatting sqref="C407 E407 G407 I407 K407 M407 O407 C410 E410 G410 I410 K410 M410 O410">
    <cfRule type="expression" dxfId="0" priority="2">
      <formula>AND(DAY(C407)&gt;=1,DAY(C407)&lt;=15)</formula>
    </cfRule>
  </conditionalFormatting>
  <printOptions horizontalCentered="1" verticalCentered="1"/>
  <pageMargins left="0.2" right="0.2" top="0.25" bottom="0.25" header="0" footer="0"/>
  <pageSetup scale="88" fitToHeight="12" orientation="portrait" horizontalDpi="360" verticalDpi="360" r:id="rId1"/>
  <headerFooter scaleWithDoc="0" alignWithMargins="0"/>
  <rowBreaks count="11" manualBreakCount="11">
    <brk id="34" max="16" man="1"/>
    <brk id="68" max="16" man="1"/>
    <brk id="102" max="16" man="1"/>
    <brk id="136" max="16" man="1"/>
    <brk id="170" max="16" man="1"/>
    <brk id="204" max="16" man="1"/>
    <brk id="238" max="16" man="1"/>
    <brk id="272" max="16" man="1"/>
    <brk id="308" max="16" man="1"/>
    <brk id="342" max="16" man="1"/>
    <brk id="376" max="16" man="1"/>
  </rowBreaks>
  <customProperties>
    <customPr name="SheetChange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Spinner 1">
              <controlPr defaultSize="0" print="0" autoPict="0" altText="Spinner control. Use spinner to change calendar year or type desired year in cell L2 ">
                <anchor moveWithCells="1">
                  <from>
                    <xdr:col>15</xdr:col>
                    <xdr:colOff>47625</xdr:colOff>
                    <xdr:row>1</xdr:row>
                    <xdr:rowOff>142875</xdr:rowOff>
                  </from>
                  <to>
                    <xdr:col>16</xdr:col>
                    <xdr:colOff>104775</xdr:colOff>
                    <xdr:row>1</xdr:row>
                    <xdr:rowOff>523875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Seasonal Quit Tobacco Calendar</vt:lpstr>
      <vt:lpstr>CalendarYear</vt:lpstr>
      <vt:lpstr>'Seasonal Quit Tobacco Calendar'!Print_Area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cocoa1</dc:creator>
  <cp:lastModifiedBy>Default</cp:lastModifiedBy>
  <cp:lastPrinted>2018-12-11T14:22:14Z</cp:lastPrinted>
  <dcterms:created xsi:type="dcterms:W3CDTF">2017-11-29T09:34:56Z</dcterms:created>
  <dcterms:modified xsi:type="dcterms:W3CDTF">2018-12-17T18:50:18Z</dcterms:modified>
</cp:coreProperties>
</file>